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C:\Users\jslan\Documents\New Life\WriteAngle\2024\BlueJay - CRISI Grant Maine\Reporting\Attachments\Completed Attachments\"/>
    </mc:Choice>
  </mc:AlternateContent>
  <xr:revisionPtr revIDLastSave="0" documentId="13_ncr:1_{A42EB3D5-4E65-4A77-85EB-BC1017A00F32}" xr6:coauthVersionLast="47" xr6:coauthVersionMax="47" xr10:uidLastSave="{00000000-0000-0000-0000-000000000000}"/>
  <bookViews>
    <workbookView xWindow="1950" yWindow="1950" windowWidth="21600" windowHeight="11295" firstSheet="13" activeTab="19" xr2:uid="{F359A226-429B-4B39-ADCF-FA4E6BC947FC}"/>
  </bookViews>
  <sheets>
    <sheet name="Overview" sheetId="1" r:id="rId1"/>
    <sheet name="Project Information" sheetId="28" r:id="rId2"/>
    <sheet name="Parameter Values" sheetId="12" r:id="rId3"/>
    <sheet name="User Volumes" sheetId="34" r:id="rId4"/>
    <sheet name="Capital Costs" sheetId="2" r:id="rId5"/>
    <sheet name="Operations and Maintenance" sheetId="3" r:id="rId6"/>
    <sheet name="Safety" sheetId="31" r:id="rId7"/>
    <sheet name="Travel Time Savings" sheetId="32" r:id="rId8"/>
    <sheet name="Vehicle Operating Cost Savings" sheetId="33" r:id="rId9"/>
    <sheet name="Emissions Reduction" sheetId="20" r:id="rId10"/>
    <sheet name="Other Highway Use Externalities" sheetId="35" r:id="rId11"/>
    <sheet name="Amenity Benefits" sheetId="21" r:id="rId12"/>
    <sheet name="Health Benefits" sheetId="22" r:id="rId13"/>
    <sheet name="Residual Value" sheetId="23" r:id="rId14"/>
    <sheet name="Other Benefit 1" sheetId="24" state="hidden" r:id="rId15"/>
    <sheet name="Other Benefit 2" sheetId="25" state="hidden" r:id="rId16"/>
    <sheet name="Other Benefit 3" sheetId="26" state="hidden" r:id="rId17"/>
    <sheet name="Other Benefit 4" sheetId="27" state="hidden" r:id="rId18"/>
    <sheet name="Summary" sheetId="11" r:id="rId19"/>
    <sheet name="Final Results" sheetId="30" r:id="rId20"/>
  </sheets>
  <externalReferences>
    <externalReference r:id="rId21"/>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37" i="20" l="1"/>
  <c r="AN37" i="20" s="1"/>
  <c r="AI44" i="20"/>
  <c r="AO44" i="20"/>
  <c r="AX43" i="20"/>
  <c r="AX42" i="20"/>
  <c r="C32" i="3"/>
  <c r="C31" i="3"/>
  <c r="C30" i="3"/>
  <c r="C29" i="3"/>
  <c r="C28" i="3"/>
  <c r="C27" i="3"/>
  <c r="C26" i="3"/>
  <c r="C25" i="3"/>
  <c r="C24" i="3"/>
  <c r="C23" i="3"/>
  <c r="C22" i="3"/>
  <c r="C21" i="3"/>
  <c r="C20" i="3"/>
  <c r="C19" i="3"/>
  <c r="C18" i="3"/>
  <c r="C17" i="3"/>
  <c r="C16" i="3"/>
  <c r="C15" i="3"/>
  <c r="C14" i="3"/>
  <c r="C13" i="3"/>
  <c r="C12" i="3"/>
  <c r="C11" i="3"/>
  <c r="C10" i="3"/>
  <c r="C9" i="3"/>
  <c r="C8" i="3"/>
  <c r="B11" i="2"/>
  <c r="B10" i="2"/>
  <c r="B9" i="2"/>
  <c r="C32" i="32"/>
  <c r="C20" i="32"/>
  <c r="AD30" i="32"/>
  <c r="AD29" i="32"/>
  <c r="AC29" i="32"/>
  <c r="AB30" i="32"/>
  <c r="AB29" i="32"/>
  <c r="AA29" i="32"/>
  <c r="AB23" i="32"/>
  <c r="AB22" i="32"/>
  <c r="AA22" i="32"/>
  <c r="AA31" i="32"/>
  <c r="AA24" i="32"/>
  <c r="Z24" i="32"/>
  <c r="U31" i="32"/>
  <c r="R31" i="32"/>
  <c r="R24" i="32"/>
  <c r="P31" i="32"/>
  <c r="O31" i="32"/>
  <c r="N31" i="32"/>
  <c r="M31" i="32"/>
  <c r="L31" i="32"/>
  <c r="K31" i="32"/>
  <c r="J31" i="32"/>
  <c r="I31" i="32"/>
  <c r="H31" i="32"/>
  <c r="P30" i="32"/>
  <c r="O30" i="32"/>
  <c r="Q30" i="32" s="1"/>
  <c r="M30" i="32"/>
  <c r="P29" i="32"/>
  <c r="O29" i="32"/>
  <c r="Q29" i="32" s="1"/>
  <c r="Q31" i="32" s="1"/>
  <c r="M29" i="32"/>
  <c r="O24" i="32"/>
  <c r="S24" i="32" s="1"/>
  <c r="N24" i="32"/>
  <c r="L24" i="32"/>
  <c r="K24" i="32"/>
  <c r="J24" i="32"/>
  <c r="I24" i="32"/>
  <c r="H24" i="32"/>
  <c r="P23" i="32"/>
  <c r="O23" i="32"/>
  <c r="Q23" i="32" s="1"/>
  <c r="M23" i="32"/>
  <c r="P22" i="32"/>
  <c r="P24" i="32" s="1"/>
  <c r="O22" i="32"/>
  <c r="Q22" i="32" s="1"/>
  <c r="Q24" i="32" s="1"/>
  <c r="M22" i="32"/>
  <c r="M24" i="32" s="1"/>
  <c r="Z22" i="32"/>
  <c r="Z23" i="32"/>
  <c r="AA23" i="32"/>
  <c r="Z29" i="32"/>
  <c r="AB31" i="32"/>
  <c r="Z30" i="32"/>
  <c r="Z31" i="32" s="1"/>
  <c r="AA30" i="32"/>
  <c r="AC30" i="32"/>
  <c r="AC31" i="32" s="1"/>
  <c r="C33" i="33"/>
  <c r="C26" i="33"/>
  <c r="R37" i="33"/>
  <c r="AV42" i="20"/>
  <c r="AV44" i="20" s="1"/>
  <c r="AA30" i="33"/>
  <c r="Z30" i="33"/>
  <c r="AB37" i="33"/>
  <c r="AA37" i="33"/>
  <c r="Z37" i="33"/>
  <c r="Z35" i="33"/>
  <c r="AB35" i="33" s="1"/>
  <c r="AB36" i="33"/>
  <c r="AA36" i="33"/>
  <c r="AA29" i="33"/>
  <c r="AA28" i="33"/>
  <c r="AA30" i="35"/>
  <c r="AA29" i="35"/>
  <c r="Z23" i="35"/>
  <c r="Z22" i="35"/>
  <c r="Y30" i="35"/>
  <c r="Z30" i="35" s="1"/>
  <c r="Y29" i="35"/>
  <c r="Y24" i="35"/>
  <c r="Y23" i="35"/>
  <c r="Y22" i="35"/>
  <c r="Z36" i="33"/>
  <c r="Z29" i="33"/>
  <c r="Z28" i="33"/>
  <c r="U37" i="33"/>
  <c r="R30" i="33"/>
  <c r="AV35" i="20"/>
  <c r="Q31" i="35"/>
  <c r="T31" i="35"/>
  <c r="O31" i="35"/>
  <c r="N31" i="35"/>
  <c r="V31" i="35" s="1"/>
  <c r="M31" i="35"/>
  <c r="K31" i="35"/>
  <c r="J31" i="35"/>
  <c r="I31" i="35"/>
  <c r="H31" i="35"/>
  <c r="G31" i="35"/>
  <c r="O30" i="35"/>
  <c r="N30" i="35"/>
  <c r="P30" i="35" s="1"/>
  <c r="L30" i="35"/>
  <c r="O29" i="35"/>
  <c r="N29" i="35"/>
  <c r="P29" i="35" s="1"/>
  <c r="P31" i="35" s="1"/>
  <c r="L29" i="35"/>
  <c r="L31" i="35" s="1"/>
  <c r="Q24" i="35"/>
  <c r="O24" i="35"/>
  <c r="N24" i="35"/>
  <c r="R24" i="35" s="1"/>
  <c r="M24" i="35"/>
  <c r="K24" i="35"/>
  <c r="J24" i="35"/>
  <c r="I24" i="35"/>
  <c r="H24" i="35"/>
  <c r="G24" i="35"/>
  <c r="O23" i="35"/>
  <c r="N23" i="35"/>
  <c r="P23" i="35" s="1"/>
  <c r="L23" i="35"/>
  <c r="O22" i="35"/>
  <c r="N22" i="35"/>
  <c r="P22" i="35" s="1"/>
  <c r="P24" i="35" s="1"/>
  <c r="L22" i="35"/>
  <c r="L24" i="35" s="1"/>
  <c r="N40" i="2"/>
  <c r="M40" i="2"/>
  <c r="O35" i="2"/>
  <c r="Q35" i="2" s="1"/>
  <c r="M35" i="2"/>
  <c r="P35" i="2" s="1"/>
  <c r="L35" i="2"/>
  <c r="L34" i="2"/>
  <c r="O34" i="2" s="1"/>
  <c r="L33" i="2"/>
  <c r="O26" i="2"/>
  <c r="O23" i="2"/>
  <c r="O22" i="2"/>
  <c r="O21" i="2"/>
  <c r="O20" i="2"/>
  <c r="L37" i="2" s="1"/>
  <c r="O19" i="2"/>
  <c r="O16" i="2"/>
  <c r="L36" i="2" s="1"/>
  <c r="O15" i="2"/>
  <c r="O14" i="2"/>
  <c r="O28" i="2" s="1"/>
  <c r="AX44" i="20" l="1"/>
  <c r="AD31" i="32"/>
  <c r="W31" i="32"/>
  <c r="AB24" i="32"/>
  <c r="T24" i="32"/>
  <c r="S31" i="32"/>
  <c r="T31" i="32"/>
  <c r="V31" i="32"/>
  <c r="AA35" i="33"/>
  <c r="Z24" i="35"/>
  <c r="AA31" i="35"/>
  <c r="Y31" i="35"/>
  <c r="Z29" i="35"/>
  <c r="Z31" i="35" s="1"/>
  <c r="R31" i="35"/>
  <c r="S31" i="35"/>
  <c r="S24" i="35"/>
  <c r="U31" i="35"/>
  <c r="N36" i="2"/>
  <c r="M36" i="2"/>
  <c r="P36" i="2" s="1"/>
  <c r="N37" i="2"/>
  <c r="Q37" i="2" s="1"/>
  <c r="M37" i="2"/>
  <c r="P37" i="2" s="1"/>
  <c r="O30" i="2"/>
  <c r="O29" i="2"/>
  <c r="L38" i="2" s="1"/>
  <c r="Q34" i="2"/>
  <c r="O39" i="2"/>
  <c r="O40" i="2" s="1"/>
  <c r="M34" i="2"/>
  <c r="AL44" i="20"/>
  <c r="AL37" i="20"/>
  <c r="AQ44" i="20"/>
  <c r="Z33" i="31"/>
  <c r="C23" i="31" s="1"/>
  <c r="O36" i="33"/>
  <c r="O35" i="33"/>
  <c r="O29" i="33"/>
  <c r="O28" i="33"/>
  <c r="AI43" i="20"/>
  <c r="AI42" i="20"/>
  <c r="AI36" i="20"/>
  <c r="AI35" i="20"/>
  <c r="O30" i="33"/>
  <c r="AV43" i="20"/>
  <c r="AV36" i="20"/>
  <c r="AU35" i="20"/>
  <c r="AW42" i="20"/>
  <c r="C34" i="31" l="1"/>
  <c r="C35" i="31"/>
  <c r="C30" i="31"/>
  <c r="C29" i="31"/>
  <c r="C38" i="31"/>
  <c r="C33" i="31"/>
  <c r="C46" i="31"/>
  <c r="C45" i="31"/>
  <c r="C44" i="31"/>
  <c r="C28" i="31"/>
  <c r="C42" i="31"/>
  <c r="C26" i="31"/>
  <c r="C22" i="31"/>
  <c r="C36" i="31"/>
  <c r="C32" i="31"/>
  <c r="C41" i="31"/>
  <c r="C25" i="31"/>
  <c r="C37" i="31"/>
  <c r="C31" i="31"/>
  <c r="C43" i="31"/>
  <c r="C40" i="31"/>
  <c r="C24" i="31"/>
  <c r="C27" i="31"/>
  <c r="C39" i="31"/>
  <c r="M38" i="2"/>
  <c r="N38" i="2"/>
  <c r="Q38" i="2" s="1"/>
  <c r="P34" i="2"/>
  <c r="M39" i="2"/>
  <c r="Q36" i="2"/>
  <c r="N39" i="2"/>
  <c r="L39" i="2"/>
  <c r="AM37" i="20"/>
  <c r="AV37" i="20"/>
  <c r="J10" i="34"/>
  <c r="L25" i="34"/>
  <c r="L24" i="34"/>
  <c r="L23" i="34"/>
  <c r="L22" i="34"/>
  <c r="L21" i="34"/>
  <c r="L20" i="34"/>
  <c r="M34" i="34"/>
  <c r="M33" i="34"/>
  <c r="M32" i="34"/>
  <c r="M31" i="34"/>
  <c r="M30" i="34"/>
  <c r="M29" i="34"/>
  <c r="M18" i="34"/>
  <c r="M17" i="34"/>
  <c r="M16" i="34"/>
  <c r="M15" i="34"/>
  <c r="M14" i="34"/>
  <c r="M13" i="34"/>
  <c r="AA13" i="34"/>
  <c r="K10" i="34"/>
  <c r="AI18" i="34"/>
  <c r="AJ18" i="34"/>
  <c r="AJ19" i="34"/>
  <c r="AJ20" i="34" s="1"/>
  <c r="AL19" i="34"/>
  <c r="AL20" i="34" s="1"/>
  <c r="AL18" i="34"/>
  <c r="AK18" i="34"/>
  <c r="AH20" i="34"/>
  <c r="AJ11" i="34"/>
  <c r="AI12" i="34"/>
  <c r="AI13" i="34" s="1"/>
  <c r="AI11" i="34"/>
  <c r="AH11" i="34"/>
  <c r="AH19" i="34"/>
  <c r="AK19" i="34" s="1"/>
  <c r="AH18" i="34"/>
  <c r="AH12" i="34"/>
  <c r="L19" i="34" s="1"/>
  <c r="AB13" i="34"/>
  <c r="AA20" i="34"/>
  <c r="X20" i="34"/>
  <c r="W20" i="34"/>
  <c r="AE20" i="34" s="1"/>
  <c r="V20" i="34"/>
  <c r="U20" i="34"/>
  <c r="T20" i="34"/>
  <c r="S20" i="34"/>
  <c r="R20" i="34"/>
  <c r="Q20" i="34"/>
  <c r="P20" i="34"/>
  <c r="X19" i="34"/>
  <c r="Y19" i="34" s="1"/>
  <c r="W19" i="34"/>
  <c r="U19" i="34"/>
  <c r="X18" i="34"/>
  <c r="W18" i="34"/>
  <c r="Y18" i="34" s="1"/>
  <c r="Y20" i="34" s="1"/>
  <c r="U18" i="34"/>
  <c r="X13" i="34"/>
  <c r="W13" i="34"/>
  <c r="V13" i="34"/>
  <c r="U13" i="34"/>
  <c r="T13" i="34"/>
  <c r="S13" i="34"/>
  <c r="R13" i="34"/>
  <c r="Q13" i="34"/>
  <c r="P13" i="34"/>
  <c r="X12" i="34"/>
  <c r="W12" i="34"/>
  <c r="Y12" i="34" s="1"/>
  <c r="U12" i="34"/>
  <c r="X11" i="34"/>
  <c r="W11" i="34"/>
  <c r="Y11" i="34" s="1"/>
  <c r="Y13" i="34" s="1"/>
  <c r="U11" i="34"/>
  <c r="B19" i="3"/>
  <c r="B20" i="3"/>
  <c r="B21" i="3"/>
  <c r="B22" i="3"/>
  <c r="B23" i="3"/>
  <c r="B24" i="3"/>
  <c r="B25" i="3"/>
  <c r="B26" i="3"/>
  <c r="B27" i="3"/>
  <c r="B18" i="3"/>
  <c r="B29" i="3"/>
  <c r="B30" i="3"/>
  <c r="B31" i="3"/>
  <c r="B32" i="3"/>
  <c r="B28" i="3"/>
  <c r="Q39" i="2" l="1"/>
  <c r="Q40" i="2" s="1"/>
  <c r="P39" i="2"/>
  <c r="P40" i="2" s="1"/>
  <c r="P38" i="2"/>
  <c r="B33" i="20"/>
  <c r="M19" i="34"/>
  <c r="L10" i="34"/>
  <c r="L26" i="34"/>
  <c r="M20" i="34"/>
  <c r="L11" i="34"/>
  <c r="L27" i="34"/>
  <c r="AI19" i="34"/>
  <c r="AI20" i="34" s="1"/>
  <c r="M21" i="34"/>
  <c r="L12" i="34"/>
  <c r="L28" i="34"/>
  <c r="AJ12" i="34"/>
  <c r="AJ13" i="34" s="1"/>
  <c r="M22" i="34"/>
  <c r="L13" i="34"/>
  <c r="L29" i="34"/>
  <c r="M23" i="34"/>
  <c r="L14" i="34"/>
  <c r="L30" i="34"/>
  <c r="AH13" i="34"/>
  <c r="M24" i="34"/>
  <c r="L15" i="34"/>
  <c r="L31" i="34"/>
  <c r="M25" i="34"/>
  <c r="L16" i="34"/>
  <c r="L32" i="34"/>
  <c r="M10" i="34"/>
  <c r="M26" i="34"/>
  <c r="L17" i="34"/>
  <c r="L33" i="34"/>
  <c r="M11" i="34"/>
  <c r="M27" i="34"/>
  <c r="L18" i="34"/>
  <c r="L34" i="34"/>
  <c r="M12" i="34"/>
  <c r="M28" i="34"/>
  <c r="AK20" i="34"/>
  <c r="AB20" i="34"/>
  <c r="AD20" i="34"/>
  <c r="K29" i="3"/>
  <c r="R29" i="3"/>
  <c r="R28" i="3"/>
  <c r="R27" i="3"/>
  <c r="R26" i="3"/>
  <c r="R25" i="3"/>
  <c r="R24" i="3"/>
  <c r="R23" i="3"/>
  <c r="R22" i="3"/>
  <c r="R18" i="3"/>
  <c r="R17" i="3"/>
  <c r="R16" i="3"/>
  <c r="R15" i="3"/>
  <c r="R14" i="3"/>
  <c r="R13" i="3"/>
  <c r="R12" i="3"/>
  <c r="R11" i="3"/>
  <c r="U53" i="31"/>
  <c r="U54" i="31" s="1"/>
  <c r="B38" i="30" s="1"/>
  <c r="D37" i="30"/>
  <c r="D38" i="30"/>
  <c r="D39" i="30"/>
  <c r="D40" i="30"/>
  <c r="B13" i="3" l="1"/>
  <c r="B16" i="3"/>
  <c r="B14" i="3"/>
  <c r="B17" i="3"/>
  <c r="B8" i="3"/>
  <c r="D8" i="3" s="1"/>
  <c r="B12" i="3"/>
  <c r="B15" i="3"/>
  <c r="B10" i="3"/>
  <c r="B9" i="3"/>
  <c r="B11" i="3"/>
  <c r="B37" i="30"/>
  <c r="A10" i="22"/>
  <c r="B24" i="2" l="1"/>
  <c r="AU42" i="20"/>
  <c r="AU36" i="20"/>
  <c r="AU37" i="20"/>
  <c r="C33" i="20"/>
  <c r="AT37" i="20"/>
  <c r="AT35" i="20"/>
  <c r="AT36" i="20"/>
  <c r="AT42" i="20"/>
  <c r="AT43" i="20"/>
  <c r="A10" i="1"/>
  <c r="B6" i="28"/>
  <c r="B9" i="28"/>
  <c r="A20" i="32" s="1"/>
  <c r="B11" i="28"/>
  <c r="A9" i="2"/>
  <c r="C9" i="2" s="1"/>
  <c r="B6" i="11"/>
  <c r="D9" i="3"/>
  <c r="B7" i="11" s="1"/>
  <c r="D10" i="3"/>
  <c r="D11" i="3"/>
  <c r="D12" i="3"/>
  <c r="B10" i="11" s="1"/>
  <c r="D13" i="3"/>
  <c r="B11" i="11" s="1"/>
  <c r="D14" i="3"/>
  <c r="B12" i="11" s="1"/>
  <c r="D15" i="3"/>
  <c r="B13" i="11" s="1"/>
  <c r="D16" i="3"/>
  <c r="B14" i="11" s="1"/>
  <c r="D17" i="3"/>
  <c r="B15" i="11" s="1"/>
  <c r="D18" i="3"/>
  <c r="B16" i="11" s="1"/>
  <c r="D19" i="3"/>
  <c r="B17" i="11" s="1"/>
  <c r="D20" i="3"/>
  <c r="B18" i="11" s="1"/>
  <c r="D21" i="3"/>
  <c r="B19" i="11" s="1"/>
  <c r="D22" i="3"/>
  <c r="B20" i="11" s="1"/>
  <c r="D23" i="3"/>
  <c r="B21" i="11" s="1"/>
  <c r="D24" i="3"/>
  <c r="B22" i="11" s="1"/>
  <c r="D25" i="3"/>
  <c r="D26" i="3"/>
  <c r="B24" i="11" s="1"/>
  <c r="D27" i="3"/>
  <c r="D28" i="3"/>
  <c r="B26" i="11" s="1"/>
  <c r="D29" i="3"/>
  <c r="D30" i="3"/>
  <c r="B28" i="11" s="1"/>
  <c r="D31" i="3"/>
  <c r="B29" i="11" s="1"/>
  <c r="D32" i="3"/>
  <c r="B30" i="11" s="1"/>
  <c r="D33" i="3"/>
  <c r="B31" i="11" s="1"/>
  <c r="D34" i="3"/>
  <c r="B32" i="11" s="1"/>
  <c r="D35" i="3"/>
  <c r="B33" i="11" s="1"/>
  <c r="D36" i="3"/>
  <c r="B34" i="11" s="1"/>
  <c r="D37" i="3"/>
  <c r="B35" i="11" s="1"/>
  <c r="B7" i="31"/>
  <c r="B8" i="31"/>
  <c r="B9" i="31"/>
  <c r="B10" i="31"/>
  <c r="B11" i="31"/>
  <c r="B13" i="31"/>
  <c r="B16" i="31"/>
  <c r="B17" i="31"/>
  <c r="B18" i="31"/>
  <c r="M24" i="31"/>
  <c r="O24" i="31"/>
  <c r="P24" i="31"/>
  <c r="M25" i="31"/>
  <c r="O25" i="31"/>
  <c r="P25" i="31"/>
  <c r="Q25" i="31" s="1"/>
  <c r="H26" i="31"/>
  <c r="I26" i="31"/>
  <c r="J26" i="31"/>
  <c r="K26" i="31"/>
  <c r="L26" i="31"/>
  <c r="N26" i="31"/>
  <c r="O26" i="31"/>
  <c r="P26" i="31"/>
  <c r="M31" i="31"/>
  <c r="M33" i="31" s="1"/>
  <c r="O31" i="31"/>
  <c r="P31" i="31"/>
  <c r="Q31" i="31" s="1"/>
  <c r="M32" i="31"/>
  <c r="O32" i="31"/>
  <c r="P32" i="31"/>
  <c r="H33" i="31"/>
  <c r="I33" i="31"/>
  <c r="J33" i="31"/>
  <c r="K33" i="31"/>
  <c r="L33" i="31"/>
  <c r="N33" i="31"/>
  <c r="O33" i="31"/>
  <c r="U43" i="31"/>
  <c r="U44" i="31"/>
  <c r="U45" i="31" s="1"/>
  <c r="U46" i="31" s="1"/>
  <c r="D47" i="31"/>
  <c r="D48" i="31"/>
  <c r="D49" i="31"/>
  <c r="D50" i="31"/>
  <c r="D51" i="31"/>
  <c r="L52" i="31"/>
  <c r="M52" i="31"/>
  <c r="N52" i="31"/>
  <c r="O52" i="31"/>
  <c r="P52" i="31"/>
  <c r="Q52" i="31"/>
  <c r="B8" i="32"/>
  <c r="B9" i="32"/>
  <c r="B10" i="32"/>
  <c r="B11" i="32"/>
  <c r="B13" i="32"/>
  <c r="B14" i="32"/>
  <c r="B15" i="32"/>
  <c r="B16" i="32"/>
  <c r="D45" i="32"/>
  <c r="D46" i="32"/>
  <c r="D47" i="32"/>
  <c r="D48" i="32"/>
  <c r="D49" i="32"/>
  <c r="B8" i="33"/>
  <c r="B9" i="33"/>
  <c r="B12" i="33"/>
  <c r="B13" i="33"/>
  <c r="B14" i="33"/>
  <c r="B15" i="33"/>
  <c r="B17" i="33"/>
  <c r="B18" i="33"/>
  <c r="B19" i="33"/>
  <c r="B20" i="33"/>
  <c r="B22" i="33"/>
  <c r="M28" i="33"/>
  <c r="M30" i="33" s="1"/>
  <c r="Q28" i="33"/>
  <c r="Q30" i="33" s="1"/>
  <c r="P28" i="33"/>
  <c r="P30" i="33" s="1"/>
  <c r="T30" i="33" s="1"/>
  <c r="M29" i="33"/>
  <c r="P29" i="33"/>
  <c r="Q29" i="33"/>
  <c r="H30" i="33"/>
  <c r="I30" i="33"/>
  <c r="J30" i="33"/>
  <c r="K30" i="33"/>
  <c r="L30" i="33"/>
  <c r="N30" i="33"/>
  <c r="S30" i="33"/>
  <c r="M35" i="33"/>
  <c r="M37" i="33" s="1"/>
  <c r="P35" i="33"/>
  <c r="Q35" i="33"/>
  <c r="M36" i="33"/>
  <c r="O37" i="33"/>
  <c r="P36" i="33"/>
  <c r="Q36" i="33"/>
  <c r="H37" i="33"/>
  <c r="I37" i="33"/>
  <c r="J37" i="33"/>
  <c r="K37" i="33"/>
  <c r="L37" i="33"/>
  <c r="N37" i="33"/>
  <c r="P37" i="33"/>
  <c r="D51" i="33"/>
  <c r="D52" i="33"/>
  <c r="D53" i="33"/>
  <c r="D54" i="33"/>
  <c r="D55" i="33"/>
  <c r="C10" i="20"/>
  <c r="C11" i="20"/>
  <c r="B12" i="20"/>
  <c r="C12" i="20"/>
  <c r="C13" i="20"/>
  <c r="C14" i="20"/>
  <c r="B15" i="20"/>
  <c r="C15" i="20"/>
  <c r="C16" i="20"/>
  <c r="C17" i="20"/>
  <c r="B18" i="20"/>
  <c r="C18" i="20"/>
  <c r="B21" i="20"/>
  <c r="C21" i="20"/>
  <c r="B22" i="20"/>
  <c r="C22" i="20"/>
  <c r="B23" i="20"/>
  <c r="C23" i="20"/>
  <c r="B24" i="20"/>
  <c r="C24" i="20"/>
  <c r="B26" i="20"/>
  <c r="C26" i="20"/>
  <c r="B27" i="20"/>
  <c r="C27" i="20"/>
  <c r="B28" i="20"/>
  <c r="C28" i="20"/>
  <c r="B29" i="20"/>
  <c r="C29" i="20"/>
  <c r="AG35" i="20"/>
  <c r="AK35" i="20"/>
  <c r="AJ35" i="20"/>
  <c r="AG36" i="20"/>
  <c r="AK36" i="20"/>
  <c r="AJ36" i="20"/>
  <c r="AB37" i="20"/>
  <c r="AC37" i="20"/>
  <c r="AD37" i="20"/>
  <c r="AE37" i="20"/>
  <c r="AF37" i="20"/>
  <c r="AH37" i="20"/>
  <c r="AJ37" i="20"/>
  <c r="AG42" i="20"/>
  <c r="AJ42" i="20"/>
  <c r="AG43" i="20"/>
  <c r="AJ43" i="20"/>
  <c r="AB44" i="20"/>
  <c r="AC44" i="20"/>
  <c r="AD44" i="20"/>
  <c r="AE44" i="20"/>
  <c r="AF44" i="20"/>
  <c r="AH44" i="20"/>
  <c r="A8" i="35"/>
  <c r="B8" i="35"/>
  <c r="C8" i="35"/>
  <c r="D8" i="35"/>
  <c r="A9" i="35"/>
  <c r="B9" i="35"/>
  <c r="C9" i="35"/>
  <c r="D9" i="35"/>
  <c r="A10" i="35"/>
  <c r="B10" i="35"/>
  <c r="C10" i="35"/>
  <c r="D10" i="35"/>
  <c r="A11" i="35"/>
  <c r="B11" i="35"/>
  <c r="C11" i="35"/>
  <c r="D11" i="35"/>
  <c r="A12" i="35"/>
  <c r="B12" i="35"/>
  <c r="C12" i="35"/>
  <c r="D12" i="35"/>
  <c r="A13" i="35"/>
  <c r="B13" i="35"/>
  <c r="C13" i="35"/>
  <c r="D13" i="35"/>
  <c r="A14" i="35"/>
  <c r="B14" i="35"/>
  <c r="C14" i="35"/>
  <c r="D14" i="35"/>
  <c r="A15" i="35"/>
  <c r="B15" i="35"/>
  <c r="C15" i="35"/>
  <c r="D15" i="35"/>
  <c r="A16" i="35"/>
  <c r="B16" i="35"/>
  <c r="C16" i="35"/>
  <c r="D16" i="35"/>
  <c r="A20" i="35"/>
  <c r="B8" i="22"/>
  <c r="C8" i="22"/>
  <c r="B9" i="22"/>
  <c r="C9" i="22"/>
  <c r="A11" i="22"/>
  <c r="B11" i="23"/>
  <c r="D11" i="23" s="1"/>
  <c r="D17" i="23" s="1"/>
  <c r="D12" i="23"/>
  <c r="D13" i="23"/>
  <c r="D14" i="23"/>
  <c r="D15" i="23"/>
  <c r="D16" i="23"/>
  <c r="L5" i="11"/>
  <c r="M5" i="11"/>
  <c r="N5" i="11"/>
  <c r="O5" i="11"/>
  <c r="I6" i="11"/>
  <c r="J6" i="11"/>
  <c r="L6" i="11"/>
  <c r="M6" i="11"/>
  <c r="N6" i="11"/>
  <c r="O6" i="11"/>
  <c r="O36" i="11" s="1"/>
  <c r="I7" i="11"/>
  <c r="J7" i="11"/>
  <c r="J36" i="11" s="1"/>
  <c r="L7" i="11"/>
  <c r="M7" i="11"/>
  <c r="N7" i="11"/>
  <c r="O7" i="11"/>
  <c r="B8" i="11"/>
  <c r="I8" i="11"/>
  <c r="J8" i="11"/>
  <c r="L8" i="11"/>
  <c r="M8" i="11"/>
  <c r="N8" i="11"/>
  <c r="O8" i="11"/>
  <c r="B9" i="11"/>
  <c r="I9" i="11"/>
  <c r="J9" i="11"/>
  <c r="L9" i="11"/>
  <c r="M9" i="11"/>
  <c r="N9" i="11"/>
  <c r="O9" i="11"/>
  <c r="I10" i="11"/>
  <c r="J10" i="11"/>
  <c r="L10" i="11"/>
  <c r="M10" i="11"/>
  <c r="N10" i="11"/>
  <c r="O10" i="11"/>
  <c r="I11" i="11"/>
  <c r="J11" i="11"/>
  <c r="L11" i="11"/>
  <c r="M11" i="11"/>
  <c r="M36" i="11" s="1"/>
  <c r="N11" i="11"/>
  <c r="O11" i="11"/>
  <c r="I12" i="11"/>
  <c r="J12" i="11"/>
  <c r="L12" i="11"/>
  <c r="M12" i="11"/>
  <c r="N12" i="11"/>
  <c r="O12" i="11"/>
  <c r="I13" i="11"/>
  <c r="J13" i="11"/>
  <c r="L13" i="11"/>
  <c r="M13" i="11"/>
  <c r="N13" i="11"/>
  <c r="O13" i="11"/>
  <c r="I14" i="11"/>
  <c r="J14" i="11"/>
  <c r="L14" i="11"/>
  <c r="M14" i="11"/>
  <c r="N14" i="11"/>
  <c r="O14" i="11"/>
  <c r="I15" i="11"/>
  <c r="J15" i="11"/>
  <c r="L15" i="11"/>
  <c r="M15" i="11"/>
  <c r="N15" i="11"/>
  <c r="O15" i="11"/>
  <c r="I16" i="11"/>
  <c r="J16" i="11"/>
  <c r="L16" i="11"/>
  <c r="M16" i="11"/>
  <c r="N16" i="11"/>
  <c r="O16" i="11"/>
  <c r="I17" i="11"/>
  <c r="J17" i="11"/>
  <c r="L17" i="11"/>
  <c r="M17" i="11"/>
  <c r="N17" i="11"/>
  <c r="O17" i="11"/>
  <c r="I18" i="11"/>
  <c r="J18" i="11"/>
  <c r="L18" i="11"/>
  <c r="M18" i="11"/>
  <c r="N18" i="11"/>
  <c r="O18" i="11"/>
  <c r="I19" i="11"/>
  <c r="J19" i="11"/>
  <c r="L19" i="11"/>
  <c r="M19" i="11"/>
  <c r="N19" i="11"/>
  <c r="O19" i="11"/>
  <c r="I20" i="11"/>
  <c r="J20" i="11"/>
  <c r="L20" i="11"/>
  <c r="M20" i="11"/>
  <c r="N20" i="11"/>
  <c r="O20" i="11"/>
  <c r="I21" i="11"/>
  <c r="J21" i="11"/>
  <c r="L21" i="11"/>
  <c r="M21" i="11"/>
  <c r="N21" i="11"/>
  <c r="O21" i="11"/>
  <c r="I22" i="11"/>
  <c r="J22" i="11"/>
  <c r="L22" i="11"/>
  <c r="M22" i="11"/>
  <c r="N22" i="11"/>
  <c r="O22" i="11"/>
  <c r="I23" i="11"/>
  <c r="J23" i="11"/>
  <c r="L23" i="11"/>
  <c r="M23" i="11"/>
  <c r="N23" i="11"/>
  <c r="O23" i="11"/>
  <c r="I24" i="11"/>
  <c r="J24" i="11"/>
  <c r="L24" i="11"/>
  <c r="M24" i="11"/>
  <c r="N24" i="11"/>
  <c r="O24" i="11"/>
  <c r="B25" i="11"/>
  <c r="I25" i="11"/>
  <c r="J25" i="11"/>
  <c r="L25" i="11"/>
  <c r="M25" i="11"/>
  <c r="N25" i="11"/>
  <c r="N36" i="11" s="1"/>
  <c r="O25" i="11"/>
  <c r="I26" i="11"/>
  <c r="J26" i="11"/>
  <c r="L26" i="11"/>
  <c r="M26" i="11"/>
  <c r="N26" i="11"/>
  <c r="O26" i="11"/>
  <c r="B27" i="11"/>
  <c r="I27" i="11"/>
  <c r="J27" i="11"/>
  <c r="L27" i="11"/>
  <c r="M27" i="11"/>
  <c r="N27" i="11"/>
  <c r="O27" i="11"/>
  <c r="I28" i="11"/>
  <c r="J28" i="11"/>
  <c r="L28" i="11"/>
  <c r="M28" i="11"/>
  <c r="N28" i="11"/>
  <c r="O28" i="11"/>
  <c r="I29" i="11"/>
  <c r="J29" i="11"/>
  <c r="L29" i="11"/>
  <c r="M29" i="11"/>
  <c r="N29" i="11"/>
  <c r="O29" i="11"/>
  <c r="I30" i="11"/>
  <c r="J30" i="11"/>
  <c r="L30" i="11"/>
  <c r="M30" i="11"/>
  <c r="N30" i="11"/>
  <c r="O30" i="11"/>
  <c r="C31" i="11"/>
  <c r="D31" i="11"/>
  <c r="E31" i="11"/>
  <c r="I31" i="11"/>
  <c r="J31" i="11"/>
  <c r="L31" i="11"/>
  <c r="M31" i="11"/>
  <c r="N31" i="11"/>
  <c r="O31" i="11"/>
  <c r="C32" i="11"/>
  <c r="D32" i="11"/>
  <c r="E32" i="11"/>
  <c r="I32" i="11"/>
  <c r="J32" i="11"/>
  <c r="L32" i="11"/>
  <c r="M32" i="11"/>
  <c r="N32" i="11"/>
  <c r="O32" i="11"/>
  <c r="C33" i="11"/>
  <c r="D33" i="11"/>
  <c r="E33" i="11"/>
  <c r="I33" i="11"/>
  <c r="J33" i="11"/>
  <c r="L33" i="11"/>
  <c r="M33" i="11"/>
  <c r="N33" i="11"/>
  <c r="O33" i="11"/>
  <c r="C34" i="11"/>
  <c r="D34" i="11"/>
  <c r="E34" i="11"/>
  <c r="I34" i="11"/>
  <c r="J34" i="11"/>
  <c r="L34" i="11"/>
  <c r="M34" i="11"/>
  <c r="N34" i="11"/>
  <c r="O34" i="11"/>
  <c r="C35" i="11"/>
  <c r="D35" i="11"/>
  <c r="E35" i="11"/>
  <c r="I35" i="11"/>
  <c r="J35" i="11"/>
  <c r="L35" i="11"/>
  <c r="M35" i="11"/>
  <c r="N35" i="11"/>
  <c r="O35" i="11"/>
  <c r="H36" i="11"/>
  <c r="L36" i="11"/>
  <c r="A41" i="11"/>
  <c r="A42" i="11" s="1"/>
  <c r="A43" i="11" s="1"/>
  <c r="A44" i="11" s="1"/>
  <c r="A45" i="11" s="1"/>
  <c r="A46" i="11" s="1"/>
  <c r="A47" i="11" s="1"/>
  <c r="A48" i="11" s="1"/>
  <c r="A49" i="11" s="1"/>
  <c r="A50" i="11" s="1"/>
  <c r="A51" i="11" s="1"/>
  <c r="A52" i="11" s="1"/>
  <c r="A53" i="11" s="1"/>
  <c r="A54" i="11" s="1"/>
  <c r="A55" i="11" s="1"/>
  <c r="Q37" i="33" l="1"/>
  <c r="AU43" i="20"/>
  <c r="AU44" i="20" s="1"/>
  <c r="AT44" i="20"/>
  <c r="AW43" i="20"/>
  <c r="AW44" i="20" s="1"/>
  <c r="A21" i="32"/>
  <c r="A22" i="32" s="1"/>
  <c r="A23" i="32" s="1"/>
  <c r="A24" i="32" s="1"/>
  <c r="A25" i="32" s="1"/>
  <c r="A26" i="32" s="1"/>
  <c r="A27" i="32" s="1"/>
  <c r="A28" i="32" s="1"/>
  <c r="A29" i="32" s="1"/>
  <c r="A30" i="32" s="1"/>
  <c r="A31" i="32" s="1"/>
  <c r="A32" i="32" s="1"/>
  <c r="A33" i="32" s="1"/>
  <c r="A34" i="32" s="1"/>
  <c r="A35" i="32" s="1"/>
  <c r="A36" i="32" s="1"/>
  <c r="A37" i="32" s="1"/>
  <c r="A38" i="32" s="1"/>
  <c r="A39" i="32" s="1"/>
  <c r="A40" i="32" s="1"/>
  <c r="A41" i="32" s="1"/>
  <c r="A42" i="32" s="1"/>
  <c r="A43" i="32" s="1"/>
  <c r="A44" i="32" s="1"/>
  <c r="A45" i="32" s="1"/>
  <c r="A46" i="32" s="1"/>
  <c r="A47" i="32" s="1"/>
  <c r="A48" i="32" s="1"/>
  <c r="A49" i="32" s="1"/>
  <c r="A21" i="35"/>
  <c r="A22" i="35" s="1"/>
  <c r="A23" i="35" s="1"/>
  <c r="A24" i="35" s="1"/>
  <c r="A25" i="35" s="1"/>
  <c r="A26" i="35" s="1"/>
  <c r="A27" i="35" s="1"/>
  <c r="A28" i="35" s="1"/>
  <c r="A29" i="35" s="1"/>
  <c r="A30" i="35" s="1"/>
  <c r="A31" i="35" s="1"/>
  <c r="A32" i="35" s="1"/>
  <c r="A33" i="35" s="1"/>
  <c r="A34" i="35" s="1"/>
  <c r="A35" i="35" s="1"/>
  <c r="A36" i="35" s="1"/>
  <c r="A37" i="35" s="1"/>
  <c r="A38" i="35" s="1"/>
  <c r="A39" i="35" s="1"/>
  <c r="A40" i="35" s="1"/>
  <c r="A41" i="35" s="1"/>
  <c r="A42" i="35" s="1"/>
  <c r="A43" i="35" s="1"/>
  <c r="A44" i="35" s="1"/>
  <c r="A45" i="35" s="1"/>
  <c r="A46" i="35" s="1"/>
  <c r="A47" i="35" s="1"/>
  <c r="A48" i="35" s="1"/>
  <c r="A49" i="35" s="1"/>
  <c r="A23" i="23"/>
  <c r="A22" i="31"/>
  <c r="A23" i="31" s="1"/>
  <c r="A24" i="31" s="1"/>
  <c r="A25" i="31" s="1"/>
  <c r="A26" i="31" s="1"/>
  <c r="A27" i="31" s="1"/>
  <c r="A28" i="31" s="1"/>
  <c r="A29" i="31" s="1"/>
  <c r="A30" i="31" s="1"/>
  <c r="A31" i="31" s="1"/>
  <c r="A32" i="31" s="1"/>
  <c r="A33" i="31" s="1"/>
  <c r="A34" i="31" s="1"/>
  <c r="A35" i="31" s="1"/>
  <c r="A36" i="31" s="1"/>
  <c r="A37" i="31" s="1"/>
  <c r="A38" i="31" s="1"/>
  <c r="A39" i="31" s="1"/>
  <c r="A40" i="31" s="1"/>
  <c r="A41" i="31" s="1"/>
  <c r="A42" i="31" s="1"/>
  <c r="A43" i="31" s="1"/>
  <c r="A44" i="31" s="1"/>
  <c r="A45" i="31" s="1"/>
  <c r="A46" i="31" s="1"/>
  <c r="A47" i="31" s="1"/>
  <c r="A48" i="31" s="1"/>
  <c r="A49" i="31" s="1"/>
  <c r="A50" i="31" s="1"/>
  <c r="A51" i="31" s="1"/>
  <c r="A33" i="20"/>
  <c r="B41" i="11"/>
  <c r="C41" i="11" s="1"/>
  <c r="A26" i="33"/>
  <c r="A27" i="33" s="1"/>
  <c r="A28" i="33" s="1"/>
  <c r="A29" i="33" s="1"/>
  <c r="A30" i="33" s="1"/>
  <c r="A31" i="33" s="1"/>
  <c r="A32" i="33" s="1"/>
  <c r="A33" i="33" s="1"/>
  <c r="A34" i="33" s="1"/>
  <c r="A35" i="33" s="1"/>
  <c r="A36" i="33" s="1"/>
  <c r="A37" i="33" s="1"/>
  <c r="A38" i="33" s="1"/>
  <c r="A39" i="33" s="1"/>
  <c r="A40" i="33" s="1"/>
  <c r="A41" i="33" s="1"/>
  <c r="A42" i="33" s="1"/>
  <c r="A43" i="33" s="1"/>
  <c r="A44" i="33" s="1"/>
  <c r="A45" i="33" s="1"/>
  <c r="A46" i="33" s="1"/>
  <c r="A47" i="33" s="1"/>
  <c r="A48" i="33" s="1"/>
  <c r="A49" i="33" s="1"/>
  <c r="A50" i="33" s="1"/>
  <c r="A51" i="33" s="1"/>
  <c r="A52" i="33" s="1"/>
  <c r="A53" i="33" s="1"/>
  <c r="A54" i="33" s="1"/>
  <c r="A55" i="33" s="1"/>
  <c r="A11" i="21"/>
  <c r="A12" i="21" s="1"/>
  <c r="A13" i="21" s="1"/>
  <c r="A14" i="21" s="1"/>
  <c r="A15" i="21" s="1"/>
  <c r="A16" i="21" s="1"/>
  <c r="A17" i="21" s="1"/>
  <c r="A18" i="21" s="1"/>
  <c r="A19" i="21" s="1"/>
  <c r="A20" i="21" s="1"/>
  <c r="A21" i="21" s="1"/>
  <c r="A22" i="21" s="1"/>
  <c r="A23" i="21" s="1"/>
  <c r="A24" i="21" s="1"/>
  <c r="A25" i="21" s="1"/>
  <c r="A26" i="21" s="1"/>
  <c r="A27" i="21" s="1"/>
  <c r="A28" i="21" s="1"/>
  <c r="A29" i="21" s="1"/>
  <c r="A30" i="21" s="1"/>
  <c r="A31" i="21" s="1"/>
  <c r="A32" i="21" s="1"/>
  <c r="A33" i="21" s="1"/>
  <c r="A34" i="21" s="1"/>
  <c r="A35" i="21" s="1"/>
  <c r="A36" i="21" s="1"/>
  <c r="A37" i="21" s="1"/>
  <c r="A38" i="21" s="1"/>
  <c r="A39" i="21" s="1"/>
  <c r="A40" i="21" s="1"/>
  <c r="A10" i="2"/>
  <c r="C10" i="2" s="1"/>
  <c r="B42" i="11" s="1"/>
  <c r="C42" i="11" s="1"/>
  <c r="A8" i="3"/>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15" i="22"/>
  <c r="A16" i="22" s="1"/>
  <c r="A17" i="22" s="1"/>
  <c r="A18" i="22" s="1"/>
  <c r="A19" i="22" s="1"/>
  <c r="A20" i="22" s="1"/>
  <c r="A21" i="22" s="1"/>
  <c r="A22" i="22" s="1"/>
  <c r="A23" i="22" s="1"/>
  <c r="A24" i="22" s="1"/>
  <c r="A25" i="22" s="1"/>
  <c r="A26" i="22" s="1"/>
  <c r="A27" i="22" s="1"/>
  <c r="A28" i="22" s="1"/>
  <c r="A29" i="22" s="1"/>
  <c r="A30" i="22" s="1"/>
  <c r="A31" i="22" s="1"/>
  <c r="A32" i="22" s="1"/>
  <c r="A33" i="22" s="1"/>
  <c r="A34" i="22" s="1"/>
  <c r="A35" i="22" s="1"/>
  <c r="A36" i="22" s="1"/>
  <c r="A37" i="22" s="1"/>
  <c r="A38" i="22" s="1"/>
  <c r="A39" i="22" s="1"/>
  <c r="A40" i="22" s="1"/>
  <c r="A41" i="22" s="1"/>
  <c r="A42" i="22" s="1"/>
  <c r="A43" i="22" s="1"/>
  <c r="A44" i="22" s="1"/>
  <c r="A6" i="11"/>
  <c r="A10" i="34"/>
  <c r="A11" i="34" s="1"/>
  <c r="A12" i="34" s="1"/>
  <c r="A13" i="34" s="1"/>
  <c r="A14" i="34" s="1"/>
  <c r="A15" i="34" s="1"/>
  <c r="A16" i="34" s="1"/>
  <c r="A17" i="34" s="1"/>
  <c r="A18" i="34" s="1"/>
  <c r="A19" i="34" s="1"/>
  <c r="A20" i="34" s="1"/>
  <c r="A21" i="34" s="1"/>
  <c r="A22" i="34" s="1"/>
  <c r="A23" i="34" s="1"/>
  <c r="A24" i="34" s="1"/>
  <c r="A25" i="34" s="1"/>
  <c r="A26" i="34" s="1"/>
  <c r="A27" i="34" s="1"/>
  <c r="A28" i="34" s="1"/>
  <c r="A29" i="34" s="1"/>
  <c r="A30" i="34" s="1"/>
  <c r="A31" i="34" s="1"/>
  <c r="A32" i="34" s="1"/>
  <c r="A33" i="34" s="1"/>
  <c r="A34" i="34" s="1"/>
  <c r="A35" i="34" s="1"/>
  <c r="A36" i="34" s="1"/>
  <c r="A37" i="34" s="1"/>
  <c r="A38" i="34" s="1"/>
  <c r="A39" i="34" s="1"/>
  <c r="B23" i="11"/>
  <c r="B36" i="11" s="1"/>
  <c r="AN44" i="20"/>
  <c r="Q32" i="31"/>
  <c r="Q24" i="31"/>
  <c r="Q26" i="31" s="1"/>
  <c r="U52" i="31"/>
  <c r="U26" i="31"/>
  <c r="P33" i="31"/>
  <c r="T33" i="31" s="1"/>
  <c r="B27" i="33"/>
  <c r="AK43" i="20"/>
  <c r="AG37" i="20"/>
  <c r="AK42" i="20"/>
  <c r="AG44" i="20"/>
  <c r="R33" i="20"/>
  <c r="AJ44" i="20"/>
  <c r="AK37" i="20"/>
  <c r="Q33" i="20"/>
  <c r="P33" i="20"/>
  <c r="B23" i="23"/>
  <c r="K6" i="11" s="1"/>
  <c r="A24" i="23"/>
  <c r="Q33" i="31"/>
  <c r="U33" i="31" s="1"/>
  <c r="I36" i="11"/>
  <c r="T37" i="33"/>
  <c r="V37" i="33"/>
  <c r="W37" i="33"/>
  <c r="S33" i="31"/>
  <c r="W33" i="31"/>
  <c r="X33" i="31"/>
  <c r="M26" i="31"/>
  <c r="S37" i="33"/>
  <c r="S26" i="31"/>
  <c r="T26" i="31"/>
  <c r="U49" i="31"/>
  <c r="U50" i="31"/>
  <c r="A12" i="27"/>
  <c r="A8" i="26"/>
  <c r="A8" i="25"/>
  <c r="A8" i="24"/>
  <c r="AM44" i="20" l="1"/>
  <c r="E45" i="20" s="1"/>
  <c r="C21" i="32"/>
  <c r="B20" i="32"/>
  <c r="B21" i="32"/>
  <c r="C34" i="33"/>
  <c r="C48" i="33"/>
  <c r="C47" i="33"/>
  <c r="C43" i="33"/>
  <c r="AP44" i="20"/>
  <c r="B35" i="20"/>
  <c r="C39" i="33"/>
  <c r="C40" i="33"/>
  <c r="C29" i="33"/>
  <c r="C32" i="33"/>
  <c r="C41" i="33"/>
  <c r="C45" i="33"/>
  <c r="I37" i="11"/>
  <c r="O37" i="11"/>
  <c r="N37" i="11"/>
  <c r="H37" i="11"/>
  <c r="M37" i="11"/>
  <c r="B37" i="11"/>
  <c r="L37" i="11"/>
  <c r="J37" i="11"/>
  <c r="O33" i="20"/>
  <c r="A34" i="20"/>
  <c r="A7" i="11"/>
  <c r="A8" i="11" s="1"/>
  <c r="A9" i="11" s="1"/>
  <c r="A10" i="11" s="1"/>
  <c r="A11" i="11" s="1"/>
  <c r="A12" i="11" s="1"/>
  <c r="A13" i="11" s="1"/>
  <c r="A14" i="11" s="1"/>
  <c r="A15" i="11" s="1"/>
  <c r="A16" i="11" s="1"/>
  <c r="A17" i="11" s="1"/>
  <c r="A18" i="11" s="1"/>
  <c r="A19" i="11" s="1"/>
  <c r="A20" i="11" s="1"/>
  <c r="A21" i="11" s="1"/>
  <c r="A22" i="11" s="1"/>
  <c r="A23" i="11" s="1"/>
  <c r="A24" i="11" s="1"/>
  <c r="A25" i="11" s="1"/>
  <c r="A26" i="11" s="1"/>
  <c r="A27" i="11" s="1"/>
  <c r="A28" i="11" s="1"/>
  <c r="A29" i="11" s="1"/>
  <c r="A30" i="11" s="1"/>
  <c r="A31" i="11" s="1"/>
  <c r="A32" i="11" s="1"/>
  <c r="A33" i="11" s="1"/>
  <c r="A34" i="11" s="1"/>
  <c r="A35" i="11" s="1"/>
  <c r="A11" i="2"/>
  <c r="C53" i="20"/>
  <c r="AK44" i="20"/>
  <c r="E38" i="20"/>
  <c r="E56" i="20"/>
  <c r="D49" i="20"/>
  <c r="B51" i="20"/>
  <c r="E57" i="20"/>
  <c r="D50" i="20"/>
  <c r="B36" i="20"/>
  <c r="B52" i="20"/>
  <c r="E35" i="20"/>
  <c r="D51" i="20"/>
  <c r="B37" i="20"/>
  <c r="B53" i="20"/>
  <c r="D56" i="20"/>
  <c r="D36" i="20"/>
  <c r="D52" i="20"/>
  <c r="B38" i="20"/>
  <c r="B54" i="20"/>
  <c r="B57" i="20"/>
  <c r="B43" i="20"/>
  <c r="B44" i="20"/>
  <c r="D37" i="20"/>
  <c r="D53" i="20"/>
  <c r="B39" i="20"/>
  <c r="B55" i="20"/>
  <c r="D55" i="20"/>
  <c r="D38" i="20"/>
  <c r="D54" i="20"/>
  <c r="B40" i="20"/>
  <c r="B56" i="20"/>
  <c r="B41" i="20"/>
  <c r="B42" i="20"/>
  <c r="D35" i="20"/>
  <c r="D39" i="20"/>
  <c r="D40" i="20"/>
  <c r="D41" i="20"/>
  <c r="D42" i="20"/>
  <c r="D43" i="20"/>
  <c r="B45" i="20"/>
  <c r="B47" i="20"/>
  <c r="B49" i="20"/>
  <c r="B50" i="20"/>
  <c r="D44" i="20"/>
  <c r="B46" i="20"/>
  <c r="D48" i="20"/>
  <c r="D45" i="20"/>
  <c r="D46" i="20"/>
  <c r="B48" i="20"/>
  <c r="D47" i="20"/>
  <c r="E46" i="20"/>
  <c r="E48" i="20"/>
  <c r="E52" i="20"/>
  <c r="E37" i="20"/>
  <c r="E53" i="20"/>
  <c r="E44" i="20"/>
  <c r="E54" i="20"/>
  <c r="E39" i="20"/>
  <c r="E42" i="20"/>
  <c r="E47" i="20"/>
  <c r="E55" i="20"/>
  <c r="E49" i="20"/>
  <c r="E50" i="20"/>
  <c r="E40" i="20"/>
  <c r="E51" i="20"/>
  <c r="E41" i="20"/>
  <c r="E43" i="20"/>
  <c r="B29" i="31"/>
  <c r="B45" i="31"/>
  <c r="B37" i="31"/>
  <c r="B30" i="31"/>
  <c r="B46" i="31"/>
  <c r="B36" i="31"/>
  <c r="B23" i="31"/>
  <c r="B31" i="31"/>
  <c r="B22" i="31"/>
  <c r="B39" i="31"/>
  <c r="B40" i="31"/>
  <c r="D40" i="31" s="1"/>
  <c r="C24" i="11" s="1"/>
  <c r="B42" i="31"/>
  <c r="B43" i="31"/>
  <c r="B28" i="31"/>
  <c r="B32" i="31"/>
  <c r="B34" i="31"/>
  <c r="B35" i="31"/>
  <c r="B24" i="31"/>
  <c r="B25" i="31"/>
  <c r="B27" i="31"/>
  <c r="B33" i="31"/>
  <c r="B38" i="31"/>
  <c r="B41" i="31"/>
  <c r="B26" i="31"/>
  <c r="B44" i="31"/>
  <c r="D44" i="31" s="1"/>
  <c r="C28" i="11" s="1"/>
  <c r="D37" i="31"/>
  <c r="C21" i="11" s="1"/>
  <c r="D29" i="31"/>
  <c r="C13" i="11" s="1"/>
  <c r="Y33" i="31"/>
  <c r="C28" i="33"/>
  <c r="C27" i="33"/>
  <c r="D27" i="33" s="1"/>
  <c r="E7" i="11" s="1"/>
  <c r="C49" i="33"/>
  <c r="B28" i="33"/>
  <c r="E34" i="20"/>
  <c r="C36" i="33"/>
  <c r="C38" i="33"/>
  <c r="C42" i="33"/>
  <c r="C46" i="33"/>
  <c r="C50" i="33"/>
  <c r="C30" i="33"/>
  <c r="C31" i="33"/>
  <c r="C35" i="33"/>
  <c r="B26" i="33"/>
  <c r="C44" i="33"/>
  <c r="J14" i="34"/>
  <c r="J24" i="34"/>
  <c r="K29" i="34"/>
  <c r="K14" i="34"/>
  <c r="K24" i="34"/>
  <c r="J30" i="34"/>
  <c r="J13" i="34"/>
  <c r="J15" i="34"/>
  <c r="J19" i="34"/>
  <c r="J25" i="34"/>
  <c r="K30" i="34"/>
  <c r="K13" i="34"/>
  <c r="K15" i="34"/>
  <c r="K19" i="34"/>
  <c r="K25" i="34"/>
  <c r="J31" i="34"/>
  <c r="J16" i="34"/>
  <c r="J26" i="34"/>
  <c r="K31" i="34"/>
  <c r="K16" i="34"/>
  <c r="J21" i="34"/>
  <c r="K26" i="34"/>
  <c r="K21" i="34"/>
  <c r="J32" i="34"/>
  <c r="J17" i="34"/>
  <c r="J27" i="34"/>
  <c r="K32" i="34"/>
  <c r="K17" i="34"/>
  <c r="J20" i="34"/>
  <c r="J22" i="34"/>
  <c r="K27" i="34"/>
  <c r="K20" i="34"/>
  <c r="K22" i="34"/>
  <c r="J33" i="34"/>
  <c r="J12" i="34"/>
  <c r="J18" i="34"/>
  <c r="J28" i="34"/>
  <c r="K33" i="34"/>
  <c r="K12" i="34"/>
  <c r="K18" i="34"/>
  <c r="J23" i="34"/>
  <c r="K28" i="34"/>
  <c r="K23" i="34"/>
  <c r="J34" i="34"/>
  <c r="J29" i="34"/>
  <c r="K34" i="34"/>
  <c r="J11" i="34"/>
  <c r="K11" i="34"/>
  <c r="C11" i="2"/>
  <c r="B43" i="11" s="1"/>
  <c r="C43" i="11" s="1"/>
  <c r="A12" i="2"/>
  <c r="C37" i="33"/>
  <c r="B24" i="23"/>
  <c r="K7" i="11" s="1"/>
  <c r="A25" i="23"/>
  <c r="A13" i="27"/>
  <c r="A14" i="27" s="1"/>
  <c r="A15" i="27" s="1"/>
  <c r="A16" i="27" s="1"/>
  <c r="A17" i="27" s="1"/>
  <c r="A18" i="27" s="1"/>
  <c r="A19" i="27" s="1"/>
  <c r="A20" i="27" s="1"/>
  <c r="A21" i="27" s="1"/>
  <c r="A22" i="27" s="1"/>
  <c r="A23" i="27" s="1"/>
  <c r="A24" i="27" s="1"/>
  <c r="A25" i="27" s="1"/>
  <c r="A26" i="27" s="1"/>
  <c r="A27" i="27" s="1"/>
  <c r="A28" i="27" s="1"/>
  <c r="A29" i="27" s="1"/>
  <c r="A30" i="27" s="1"/>
  <c r="A31" i="27" s="1"/>
  <c r="A32" i="27" s="1"/>
  <c r="A33" i="27" s="1"/>
  <c r="A34" i="27" s="1"/>
  <c r="A35" i="27" s="1"/>
  <c r="A36" i="27" s="1"/>
  <c r="A37" i="27" s="1"/>
  <c r="A38" i="27" s="1"/>
  <c r="A9" i="24"/>
  <c r="A10" i="24" s="1"/>
  <c r="A11" i="24" s="1"/>
  <c r="A12" i="24" s="1"/>
  <c r="A13" i="24" s="1"/>
  <c r="A14" i="24" s="1"/>
  <c r="A15" i="24" s="1"/>
  <c r="A16" i="24" s="1"/>
  <c r="A17" i="24" s="1"/>
  <c r="A18" i="24" s="1"/>
  <c r="A19" i="24" s="1"/>
  <c r="A20" i="24" s="1"/>
  <c r="A21" i="24" s="1"/>
  <c r="A22" i="24" s="1"/>
  <c r="A23" i="24" s="1"/>
  <c r="A24" i="24" s="1"/>
  <c r="A25" i="24" s="1"/>
  <c r="A26" i="24" s="1"/>
  <c r="A27" i="24" s="1"/>
  <c r="A28" i="24" s="1"/>
  <c r="A29" i="24" s="1"/>
  <c r="A30" i="24" s="1"/>
  <c r="A31" i="24" s="1"/>
  <c r="A32" i="24" s="1"/>
  <c r="A9" i="26"/>
  <c r="A10" i="26" s="1"/>
  <c r="A11" i="26" s="1"/>
  <c r="A12" i="26" s="1"/>
  <c r="A13" i="26" s="1"/>
  <c r="A14" i="26" s="1"/>
  <c r="A15" i="26" s="1"/>
  <c r="A16" i="26" s="1"/>
  <c r="A17" i="26" s="1"/>
  <c r="A18" i="26" s="1"/>
  <c r="A19" i="26" s="1"/>
  <c r="A20" i="26" s="1"/>
  <c r="A21" i="26" s="1"/>
  <c r="A22" i="26" s="1"/>
  <c r="A23" i="26" s="1"/>
  <c r="A24" i="26" s="1"/>
  <c r="A25" i="26" s="1"/>
  <c r="A26" i="26" s="1"/>
  <c r="A27" i="26" s="1"/>
  <c r="A28" i="26" s="1"/>
  <c r="A29" i="26" s="1"/>
  <c r="A30" i="26" s="1"/>
  <c r="A31" i="26" s="1"/>
  <c r="A32" i="26" s="1"/>
  <c r="A9" i="25"/>
  <c r="A10" i="25" s="1"/>
  <c r="A11" i="25" s="1"/>
  <c r="A12" i="25" s="1"/>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D57" i="20" l="1"/>
  <c r="D32" i="31"/>
  <c r="C16" i="11" s="1"/>
  <c r="E36" i="20"/>
  <c r="C47" i="20"/>
  <c r="C46" i="20"/>
  <c r="C51" i="20"/>
  <c r="D26" i="33"/>
  <c r="E6" i="11" s="1"/>
  <c r="C41" i="20"/>
  <c r="C43" i="20"/>
  <c r="C55" i="20"/>
  <c r="C36" i="20"/>
  <c r="B23" i="32"/>
  <c r="B39" i="32"/>
  <c r="B24" i="32"/>
  <c r="B40" i="32"/>
  <c r="B25" i="32"/>
  <c r="B41" i="32"/>
  <c r="B26" i="32"/>
  <c r="B42" i="32"/>
  <c r="B37" i="32"/>
  <c r="B27" i="32"/>
  <c r="B43" i="32"/>
  <c r="B36" i="32"/>
  <c r="B28" i="32"/>
  <c r="B44" i="32"/>
  <c r="B29" i="32"/>
  <c r="B22" i="32"/>
  <c r="B31" i="32"/>
  <c r="B30" i="32"/>
  <c r="B38" i="32"/>
  <c r="B32" i="32"/>
  <c r="B33" i="32"/>
  <c r="B34" i="32"/>
  <c r="B35" i="32"/>
  <c r="B33" i="33"/>
  <c r="D33" i="33" s="1"/>
  <c r="E13" i="11" s="1"/>
  <c r="B32" i="33"/>
  <c r="B34" i="33"/>
  <c r="D34" i="33" s="1"/>
  <c r="E14" i="11" s="1"/>
  <c r="B50" i="33"/>
  <c r="D50" i="33" s="1"/>
  <c r="E30" i="11" s="1"/>
  <c r="B29" i="33"/>
  <c r="D29" i="33" s="1"/>
  <c r="E9" i="11" s="1"/>
  <c r="B30" i="33"/>
  <c r="D30" i="33" s="1"/>
  <c r="E10" i="11" s="1"/>
  <c r="B46" i="33"/>
  <c r="D46" i="33" s="1"/>
  <c r="E26" i="11" s="1"/>
  <c r="B47" i="33"/>
  <c r="D47" i="33" s="1"/>
  <c r="E27" i="11" s="1"/>
  <c r="B37" i="33"/>
  <c r="D37" i="33" s="1"/>
  <c r="E17" i="11" s="1"/>
  <c r="B39" i="33"/>
  <c r="D39" i="33" s="1"/>
  <c r="E19" i="11" s="1"/>
  <c r="B43" i="33"/>
  <c r="B49" i="33"/>
  <c r="D49" i="33" s="1"/>
  <c r="E29" i="11" s="1"/>
  <c r="D28" i="33"/>
  <c r="E8" i="11" s="1"/>
  <c r="D43" i="33"/>
  <c r="E23" i="11" s="1"/>
  <c r="C42" i="20"/>
  <c r="C39" i="20"/>
  <c r="C38" i="20"/>
  <c r="C37" i="20"/>
  <c r="C57" i="20"/>
  <c r="C40" i="20"/>
  <c r="C50" i="20"/>
  <c r="C49" i="20"/>
  <c r="C48" i="20"/>
  <c r="C44" i="20"/>
  <c r="C54" i="20"/>
  <c r="C52" i="20"/>
  <c r="C56" i="20"/>
  <c r="C45" i="20"/>
  <c r="D32" i="33"/>
  <c r="E12" i="11" s="1"/>
  <c r="C23" i="32"/>
  <c r="C39" i="32"/>
  <c r="C35" i="32"/>
  <c r="C24" i="32"/>
  <c r="C40" i="32"/>
  <c r="C33" i="32"/>
  <c r="C25" i="32"/>
  <c r="C41" i="32"/>
  <c r="C26" i="32"/>
  <c r="C42" i="32"/>
  <c r="C27" i="32"/>
  <c r="C43" i="32"/>
  <c r="C28" i="32"/>
  <c r="C44" i="32"/>
  <c r="C29" i="32"/>
  <c r="C22" i="32"/>
  <c r="C30" i="32"/>
  <c r="C31" i="32"/>
  <c r="C34" i="32"/>
  <c r="C36" i="32"/>
  <c r="C37" i="32"/>
  <c r="C38" i="32"/>
  <c r="D23" i="31"/>
  <c r="C7" i="11" s="1"/>
  <c r="D42" i="31"/>
  <c r="C26" i="11" s="1"/>
  <c r="C35" i="20"/>
  <c r="B44" i="33"/>
  <c r="D44" i="33" s="1"/>
  <c r="E24" i="11" s="1"/>
  <c r="B40" i="33"/>
  <c r="D40" i="33" s="1"/>
  <c r="E20" i="11" s="1"/>
  <c r="B45" i="33"/>
  <c r="D45" i="33" s="1"/>
  <c r="E25" i="11" s="1"/>
  <c r="B48" i="33"/>
  <c r="D48" i="33" s="1"/>
  <c r="E28" i="11" s="1"/>
  <c r="B35" i="33"/>
  <c r="D35" i="33" s="1"/>
  <c r="E15" i="11" s="1"/>
  <c r="O34" i="20"/>
  <c r="Q34" i="20"/>
  <c r="A35" i="20"/>
  <c r="R34" i="20"/>
  <c r="P34" i="20"/>
  <c r="C34" i="20"/>
  <c r="B34" i="20"/>
  <c r="D34" i="20"/>
  <c r="T34" i="20" s="1"/>
  <c r="G7" i="11" s="1"/>
  <c r="D33" i="20"/>
  <c r="E33" i="20"/>
  <c r="E63" i="20" s="1"/>
  <c r="B41" i="33"/>
  <c r="D41" i="33" s="1"/>
  <c r="E21" i="11" s="1"/>
  <c r="B42" i="33"/>
  <c r="D42" i="33" s="1"/>
  <c r="E22" i="11" s="1"/>
  <c r="B38" i="33"/>
  <c r="D38" i="33" s="1"/>
  <c r="E18" i="11" s="1"/>
  <c r="B36" i="33"/>
  <c r="D36" i="33" s="1"/>
  <c r="E16" i="11" s="1"/>
  <c r="B31" i="33"/>
  <c r="D31" i="33" s="1"/>
  <c r="E11" i="11" s="1"/>
  <c r="D36" i="31"/>
  <c r="C20" i="11" s="1"/>
  <c r="A13" i="2"/>
  <c r="C12" i="2"/>
  <c r="B44" i="11" s="1"/>
  <c r="C44" i="11" s="1"/>
  <c r="D22" i="31"/>
  <c r="C6" i="11" s="1"/>
  <c r="D30" i="31"/>
  <c r="D25" i="31"/>
  <c r="D38" i="31"/>
  <c r="C22" i="11" s="1"/>
  <c r="D20" i="32"/>
  <c r="D6" i="11" s="1"/>
  <c r="D34" i="31"/>
  <c r="C18" i="11" s="1"/>
  <c r="D28" i="31"/>
  <c r="C12" i="11" s="1"/>
  <c r="D45" i="31"/>
  <c r="C29" i="11" s="1"/>
  <c r="D21" i="32"/>
  <c r="D7" i="11" s="1"/>
  <c r="B25" i="23"/>
  <c r="A26" i="23"/>
  <c r="D41" i="31"/>
  <c r="C25" i="11" s="1"/>
  <c r="D33" i="31"/>
  <c r="C17" i="11" s="1"/>
  <c r="D43" i="31"/>
  <c r="C27" i="11" s="1"/>
  <c r="D31" i="31"/>
  <c r="C15" i="11" s="1"/>
  <c r="D39" i="31"/>
  <c r="C23" i="11" s="1"/>
  <c r="D27" i="31"/>
  <c r="C11" i="11" s="1"/>
  <c r="D35" i="31"/>
  <c r="C19" i="11" s="1"/>
  <c r="D26" i="31"/>
  <c r="C10" i="11" s="1"/>
  <c r="D46" i="31"/>
  <c r="C30" i="11" s="1"/>
  <c r="D24" i="31"/>
  <c r="C8" i="11" s="1"/>
  <c r="A33" i="26"/>
  <c r="A34" i="26" s="1"/>
  <c r="A35" i="26" s="1"/>
  <c r="A36" i="26" s="1"/>
  <c r="A37" i="26" s="1"/>
  <c r="A33" i="24"/>
  <c r="A34" i="24" s="1"/>
  <c r="A35" i="24" s="1"/>
  <c r="A36" i="24" s="1"/>
  <c r="A37" i="24" s="1"/>
  <c r="A35" i="25"/>
  <c r="A36" i="25" s="1"/>
  <c r="A37" i="25" s="1"/>
  <c r="A39" i="27"/>
  <c r="A40" i="27" s="1"/>
  <c r="A41" i="27" s="1"/>
  <c r="D39" i="32" l="1"/>
  <c r="D25" i="11" s="1"/>
  <c r="D26" i="32"/>
  <c r="D12" i="11" s="1"/>
  <c r="D31" i="32"/>
  <c r="D17" i="11" s="1"/>
  <c r="D36" i="32"/>
  <c r="D22" i="11" s="1"/>
  <c r="D40" i="32"/>
  <c r="D26" i="11" s="1"/>
  <c r="D32" i="32"/>
  <c r="D18" i="11" s="1"/>
  <c r="D23" i="32"/>
  <c r="D9" i="11" s="1"/>
  <c r="D43" i="32"/>
  <c r="D29" i="11" s="1"/>
  <c r="D44" i="32"/>
  <c r="D30" i="11" s="1"/>
  <c r="D28" i="32"/>
  <c r="D14" i="11" s="1"/>
  <c r="D27" i="32"/>
  <c r="D13" i="11" s="1"/>
  <c r="D22" i="32"/>
  <c r="D8" i="11" s="1"/>
  <c r="D42" i="32"/>
  <c r="D28" i="11" s="1"/>
  <c r="C63" i="20"/>
  <c r="S34" i="20"/>
  <c r="F7" i="11" s="1"/>
  <c r="P7" i="11" s="1"/>
  <c r="Q7" i="11" s="1"/>
  <c r="D63" i="20"/>
  <c r="E36" i="11"/>
  <c r="T33" i="20"/>
  <c r="G6" i="11" s="1"/>
  <c r="B63" i="20"/>
  <c r="E37" i="11"/>
  <c r="O35" i="20"/>
  <c r="A36" i="20"/>
  <c r="Q35" i="20"/>
  <c r="R35" i="20"/>
  <c r="T35" i="20" s="1"/>
  <c r="G8" i="11" s="1"/>
  <c r="P35" i="20"/>
  <c r="S33" i="20"/>
  <c r="F6" i="11" s="1"/>
  <c r="D34" i="32"/>
  <c r="D20" i="11" s="1"/>
  <c r="D29" i="32"/>
  <c r="D15" i="11" s="1"/>
  <c r="D38" i="32"/>
  <c r="D24" i="11" s="1"/>
  <c r="D37" i="32"/>
  <c r="D23" i="11" s="1"/>
  <c r="D33" i="32"/>
  <c r="D19" i="11" s="1"/>
  <c r="C9" i="11"/>
  <c r="C14" i="11"/>
  <c r="D24" i="32"/>
  <c r="D10" i="11" s="1"/>
  <c r="D35" i="32"/>
  <c r="D21" i="11" s="1"/>
  <c r="D30" i="32"/>
  <c r="D25" i="32"/>
  <c r="C13" i="2"/>
  <c r="B45" i="11" s="1"/>
  <c r="C45" i="11" s="1"/>
  <c r="A14" i="2"/>
  <c r="B26" i="23"/>
  <c r="K9" i="11" s="1"/>
  <c r="A27" i="23"/>
  <c r="D41" i="32"/>
  <c r="D27" i="11" s="1"/>
  <c r="C36" i="11" l="1"/>
  <c r="P6" i="11"/>
  <c r="C37" i="11"/>
  <c r="A37" i="20"/>
  <c r="P36" i="20"/>
  <c r="Q36" i="20"/>
  <c r="R36" i="20"/>
  <c r="T36" i="20" s="1"/>
  <c r="G9" i="11" s="1"/>
  <c r="O36" i="20"/>
  <c r="S36" i="20" s="1"/>
  <c r="F9" i="11" s="1"/>
  <c r="S35" i="20"/>
  <c r="F8" i="11" s="1"/>
  <c r="A28" i="23"/>
  <c r="B27" i="23"/>
  <c r="K10" i="11" s="1"/>
  <c r="C14" i="2"/>
  <c r="B46" i="11" s="1"/>
  <c r="C46" i="11" s="1"/>
  <c r="A15" i="2"/>
  <c r="D11" i="11"/>
  <c r="D16" i="11"/>
  <c r="P9" i="11" l="1"/>
  <c r="Q9" i="11" s="1"/>
  <c r="D37" i="11"/>
  <c r="D38" i="11" s="1"/>
  <c r="O37" i="20"/>
  <c r="P37" i="20"/>
  <c r="Q37" i="20"/>
  <c r="A38" i="20"/>
  <c r="R37" i="20"/>
  <c r="T37" i="20" s="1"/>
  <c r="G10" i="11" s="1"/>
  <c r="Q6" i="11"/>
  <c r="R6" i="11" s="1"/>
  <c r="R7" i="11" s="1"/>
  <c r="D36" i="11"/>
  <c r="C15" i="2"/>
  <c r="B47" i="11" s="1"/>
  <c r="C47" i="11" s="1"/>
  <c r="A16" i="2"/>
  <c r="B28" i="23"/>
  <c r="K11" i="11" s="1"/>
  <c r="A29" i="23"/>
  <c r="S37" i="20" l="1"/>
  <c r="F10" i="11" s="1"/>
  <c r="Q38" i="20"/>
  <c r="A39" i="20"/>
  <c r="P38" i="20"/>
  <c r="O38" i="20"/>
  <c r="R38" i="20"/>
  <c r="T38" i="20" s="1"/>
  <c r="G11" i="11" s="1"/>
  <c r="A30" i="23"/>
  <c r="B29" i="23"/>
  <c r="K12" i="11" s="1"/>
  <c r="C16" i="2"/>
  <c r="B48" i="11" s="1"/>
  <c r="C48" i="11" s="1"/>
  <c r="A17" i="2"/>
  <c r="A40" i="20" l="1"/>
  <c r="O39" i="20"/>
  <c r="P39" i="20"/>
  <c r="R39" i="20"/>
  <c r="T39" i="20" s="1"/>
  <c r="G12" i="11" s="1"/>
  <c r="Q39" i="20"/>
  <c r="S38" i="20"/>
  <c r="F11" i="11" s="1"/>
  <c r="P11" i="11" s="1"/>
  <c r="Q11" i="11" s="1"/>
  <c r="P10" i="11"/>
  <c r="Q10" i="11" s="1"/>
  <c r="B30" i="23"/>
  <c r="A31" i="23"/>
  <c r="C17" i="2"/>
  <c r="B49" i="11" s="1"/>
  <c r="C49" i="11" s="1"/>
  <c r="A18" i="2"/>
  <c r="S39" i="20" l="1"/>
  <c r="F12" i="11" s="1"/>
  <c r="P12" i="11" s="1"/>
  <c r="Q12" i="11" s="1"/>
  <c r="O40" i="20"/>
  <c r="Q40" i="20"/>
  <c r="R40" i="20"/>
  <c r="T40" i="20" s="1"/>
  <c r="G13" i="11" s="1"/>
  <c r="P40" i="20"/>
  <c r="A41" i="20"/>
  <c r="K13" i="11"/>
  <c r="K8" i="11"/>
  <c r="C18" i="2"/>
  <c r="B50" i="11" s="1"/>
  <c r="C50" i="11" s="1"/>
  <c r="A19" i="2"/>
  <c r="B31" i="23"/>
  <c r="K14" i="11" s="1"/>
  <c r="A32" i="23"/>
  <c r="P41" i="20" l="1"/>
  <c r="Q41" i="20"/>
  <c r="R41" i="20"/>
  <c r="T41" i="20" s="1"/>
  <c r="G14" i="11" s="1"/>
  <c r="A42" i="20"/>
  <c r="O41" i="20"/>
  <c r="S41" i="20" s="1"/>
  <c r="F14" i="11" s="1"/>
  <c r="S40" i="20"/>
  <c r="F13" i="11" s="1"/>
  <c r="P13" i="11" s="1"/>
  <c r="Q13" i="11" s="1"/>
  <c r="B32" i="23"/>
  <c r="K15" i="11" s="1"/>
  <c r="A33" i="23"/>
  <c r="C19" i="2"/>
  <c r="B51" i="11" s="1"/>
  <c r="C51" i="11" s="1"/>
  <c r="A20" i="2"/>
  <c r="P8" i="11"/>
  <c r="P14" i="11" l="1"/>
  <c r="Q14" i="11" s="1"/>
  <c r="Q42" i="20"/>
  <c r="R42" i="20"/>
  <c r="T42" i="20" s="1"/>
  <c r="G15" i="11" s="1"/>
  <c r="A43" i="20"/>
  <c r="O42" i="20"/>
  <c r="P42" i="20"/>
  <c r="Q8" i="11"/>
  <c r="R8" i="11" s="1"/>
  <c r="C20" i="2"/>
  <c r="B52" i="11" s="1"/>
  <c r="C52" i="11" s="1"/>
  <c r="A21" i="2"/>
  <c r="B33" i="23"/>
  <c r="K16" i="11" s="1"/>
  <c r="A34" i="23"/>
  <c r="R9" i="11" l="1"/>
  <c r="S42" i="20"/>
  <c r="F15" i="11" s="1"/>
  <c r="P15" i="11" s="1"/>
  <c r="O43" i="20"/>
  <c r="R43" i="20"/>
  <c r="T43" i="20" s="1"/>
  <c r="G16" i="11" s="1"/>
  <c r="A44" i="20"/>
  <c r="P43" i="20"/>
  <c r="Q43" i="20"/>
  <c r="B34" i="23"/>
  <c r="K17" i="11" s="1"/>
  <c r="A35" i="23"/>
  <c r="C21" i="2"/>
  <c r="B53" i="11" s="1"/>
  <c r="C53" i="11" s="1"/>
  <c r="A22" i="2"/>
  <c r="Q44" i="20" l="1"/>
  <c r="P44" i="20"/>
  <c r="O44" i="20"/>
  <c r="A45" i="20"/>
  <c r="R44" i="20"/>
  <c r="T44" i="20" s="1"/>
  <c r="G17" i="11" s="1"/>
  <c r="S43" i="20"/>
  <c r="F16" i="11" s="1"/>
  <c r="P16" i="11" s="1"/>
  <c r="Q16" i="11" s="1"/>
  <c r="Q15" i="11"/>
  <c r="A36" i="23"/>
  <c r="B35" i="23"/>
  <c r="K18" i="11" s="1"/>
  <c r="C22" i="2"/>
  <c r="B54" i="11" s="1"/>
  <c r="C54" i="11" s="1"/>
  <c r="A23" i="2"/>
  <c r="C23" i="2" s="1"/>
  <c r="A46" i="20" l="1"/>
  <c r="O45" i="20"/>
  <c r="R45" i="20"/>
  <c r="T45" i="20" s="1"/>
  <c r="G18" i="11" s="1"/>
  <c r="Q45" i="20"/>
  <c r="P45" i="20"/>
  <c r="S44" i="20"/>
  <c r="F17" i="11" s="1"/>
  <c r="P17" i="11" s="1"/>
  <c r="Q17" i="11" s="1"/>
  <c r="B55" i="11"/>
  <c r="C24" i="2"/>
  <c r="S9" i="11" s="1"/>
  <c r="T9" i="11" s="1"/>
  <c r="U9" i="11" s="1"/>
  <c r="B9" i="30" s="1"/>
  <c r="B36" i="23"/>
  <c r="K19" i="11" s="1"/>
  <c r="A37" i="23"/>
  <c r="A31" i="30" l="1"/>
  <c r="A28" i="30"/>
  <c r="B56" i="11"/>
  <c r="C55" i="11"/>
  <c r="C56" i="11" s="1"/>
  <c r="B6" i="30" s="1"/>
  <c r="E38" i="30" s="1"/>
  <c r="S45" i="20"/>
  <c r="F18" i="11" s="1"/>
  <c r="P18" i="11" s="1"/>
  <c r="Q18" i="11" s="1"/>
  <c r="A47" i="20"/>
  <c r="R46" i="20"/>
  <c r="T46" i="20" s="1"/>
  <c r="G19" i="11" s="1"/>
  <c r="O46" i="20"/>
  <c r="P46" i="20"/>
  <c r="Q46" i="20"/>
  <c r="B37" i="23"/>
  <c r="K20" i="11" s="1"/>
  <c r="A38" i="23"/>
  <c r="S46" i="20" l="1"/>
  <c r="F19" i="11" s="1"/>
  <c r="P19" i="11" s="1"/>
  <c r="Q19" i="11" s="1"/>
  <c r="Q47" i="20"/>
  <c r="R47" i="20"/>
  <c r="T47" i="20" s="1"/>
  <c r="G20" i="11" s="1"/>
  <c r="A48" i="20"/>
  <c r="O47" i="20"/>
  <c r="S47" i="20" s="1"/>
  <c r="F20" i="11" s="1"/>
  <c r="P47" i="20"/>
  <c r="B38" i="23"/>
  <c r="K21" i="11" s="1"/>
  <c r="A39" i="23"/>
  <c r="P20" i="11" l="1"/>
  <c r="Q20" i="11" s="1"/>
  <c r="A49" i="20"/>
  <c r="Q48" i="20"/>
  <c r="O48" i="20"/>
  <c r="P48" i="20"/>
  <c r="R48" i="20"/>
  <c r="T48" i="20" s="1"/>
  <c r="G21" i="11" s="1"/>
  <c r="B39" i="23"/>
  <c r="K22" i="11" s="1"/>
  <c r="A40" i="23"/>
  <c r="S48" i="20" l="1"/>
  <c r="F21" i="11" s="1"/>
  <c r="P21" i="11" s="1"/>
  <c r="Q21" i="11" s="1"/>
  <c r="Q49" i="20"/>
  <c r="A50" i="20"/>
  <c r="P49" i="20"/>
  <c r="O49" i="20"/>
  <c r="S49" i="20" s="1"/>
  <c r="F22" i="11" s="1"/>
  <c r="R49" i="20"/>
  <c r="T49" i="20" s="1"/>
  <c r="G22" i="11" s="1"/>
  <c r="B40" i="23"/>
  <c r="K23" i="11" s="1"/>
  <c r="A41" i="23"/>
  <c r="P22" i="11" l="1"/>
  <c r="Q22" i="11" s="1"/>
  <c r="A51" i="20"/>
  <c r="O50" i="20"/>
  <c r="P50" i="20"/>
  <c r="Q50" i="20"/>
  <c r="R50" i="20"/>
  <c r="T50" i="20" s="1"/>
  <c r="G23" i="11" s="1"/>
  <c r="B41" i="23"/>
  <c r="K24" i="11" s="1"/>
  <c r="A42" i="23"/>
  <c r="S50" i="20" l="1"/>
  <c r="F23" i="11" s="1"/>
  <c r="P23" i="11" s="1"/>
  <c r="Q23" i="11" s="1"/>
  <c r="A52" i="20"/>
  <c r="P51" i="20"/>
  <c r="O51" i="20"/>
  <c r="Q51" i="20"/>
  <c r="R51" i="20"/>
  <c r="T51" i="20" s="1"/>
  <c r="G24" i="11" s="1"/>
  <c r="A43" i="23"/>
  <c r="B42" i="23"/>
  <c r="K25" i="11" s="1"/>
  <c r="S51" i="20" l="1"/>
  <c r="F24" i="11" s="1"/>
  <c r="P24" i="11" s="1"/>
  <c r="Q24" i="11" s="1"/>
  <c r="Q52" i="20"/>
  <c r="A53" i="20"/>
  <c r="O52" i="20"/>
  <c r="S52" i="20" s="1"/>
  <c r="F25" i="11" s="1"/>
  <c r="P52" i="20"/>
  <c r="R52" i="20"/>
  <c r="T52" i="20" s="1"/>
  <c r="G25" i="11" s="1"/>
  <c r="A44" i="23"/>
  <c r="B43" i="23"/>
  <c r="K26" i="11" s="1"/>
  <c r="P25" i="11" l="1"/>
  <c r="Q25" i="11" s="1"/>
  <c r="A54" i="20"/>
  <c r="P53" i="20"/>
  <c r="Q53" i="20"/>
  <c r="R53" i="20"/>
  <c r="T53" i="20" s="1"/>
  <c r="G26" i="11" s="1"/>
  <c r="O53" i="20"/>
  <c r="S53" i="20" s="1"/>
  <c r="F26" i="11" s="1"/>
  <c r="B44" i="23"/>
  <c r="K27" i="11" s="1"/>
  <c r="A45" i="23"/>
  <c r="P26" i="11" l="1"/>
  <c r="Q26" i="11" s="1"/>
  <c r="O54" i="20"/>
  <c r="A55" i="20"/>
  <c r="R54" i="20"/>
  <c r="T54" i="20" s="1"/>
  <c r="G27" i="11" s="1"/>
  <c r="P54" i="20"/>
  <c r="Q54" i="20"/>
  <c r="B45" i="23"/>
  <c r="K28" i="11" s="1"/>
  <c r="A46" i="23"/>
  <c r="O55" i="20" l="1"/>
  <c r="S55" i="20" s="1"/>
  <c r="F28" i="11" s="1"/>
  <c r="P55" i="20"/>
  <c r="Q55" i="20"/>
  <c r="R55" i="20"/>
  <c r="T55" i="20" s="1"/>
  <c r="G28" i="11" s="1"/>
  <c r="A56" i="20"/>
  <c r="S54" i="20"/>
  <c r="F27" i="11" s="1"/>
  <c r="P27" i="11" s="1"/>
  <c r="Q27" i="11" s="1"/>
  <c r="B46" i="23"/>
  <c r="K29" i="11" s="1"/>
  <c r="A47" i="23"/>
  <c r="P28" i="11" l="1"/>
  <c r="Q28" i="11" s="1"/>
  <c r="O56" i="20"/>
  <c r="P56" i="20"/>
  <c r="R56" i="20"/>
  <c r="T56" i="20" s="1"/>
  <c r="G29" i="11" s="1"/>
  <c r="Q56" i="20"/>
  <c r="A57" i="20"/>
  <c r="B47" i="23"/>
  <c r="A48" i="23"/>
  <c r="P57" i="20" l="1"/>
  <c r="Q57" i="20"/>
  <c r="R57" i="20"/>
  <c r="T57" i="20" s="1"/>
  <c r="G30" i="11" s="1"/>
  <c r="O57" i="20"/>
  <c r="S57" i="20" s="1"/>
  <c r="F30" i="11" s="1"/>
  <c r="A58" i="20"/>
  <c r="S56" i="20"/>
  <c r="F29" i="11" s="1"/>
  <c r="P29" i="11" s="1"/>
  <c r="Q29" i="11" s="1"/>
  <c r="K30" i="11"/>
  <c r="B48" i="23"/>
  <c r="K31" i="11" s="1"/>
  <c r="A49" i="23"/>
  <c r="P30" i="11" l="1"/>
  <c r="Q30" i="11" s="1"/>
  <c r="R58" i="20"/>
  <c r="T58" i="20" s="1"/>
  <c r="G31" i="11" s="1"/>
  <c r="A59" i="20"/>
  <c r="O58" i="20"/>
  <c r="Q58" i="20"/>
  <c r="P58" i="20"/>
  <c r="B49" i="23"/>
  <c r="K32" i="11" s="1"/>
  <c r="A50" i="23"/>
  <c r="O59" i="20" l="1"/>
  <c r="A60" i="20"/>
  <c r="P59" i="20"/>
  <c r="R59" i="20"/>
  <c r="T59" i="20" s="1"/>
  <c r="G32" i="11" s="1"/>
  <c r="Q59" i="20"/>
  <c r="S58" i="20"/>
  <c r="F31" i="11" s="1"/>
  <c r="P31" i="11" s="1"/>
  <c r="Q31" i="11" s="1"/>
  <c r="B50" i="23"/>
  <c r="K33" i="11" s="1"/>
  <c r="A51" i="23"/>
  <c r="O60" i="20" l="1"/>
  <c r="Q60" i="20"/>
  <c r="A61" i="20"/>
  <c r="R60" i="20"/>
  <c r="T60" i="20" s="1"/>
  <c r="G33" i="11" s="1"/>
  <c r="P60" i="20"/>
  <c r="S59" i="20"/>
  <c r="F32" i="11" s="1"/>
  <c r="P32" i="11" s="1"/>
  <c r="Q32" i="11" s="1"/>
  <c r="A52" i="23"/>
  <c r="B52" i="23" s="1"/>
  <c r="K35" i="11" s="1"/>
  <c r="B51" i="23"/>
  <c r="K34" i="11" s="1"/>
  <c r="K37" i="11" l="1"/>
  <c r="O61" i="20"/>
  <c r="A62" i="20"/>
  <c r="Q61" i="20"/>
  <c r="R61" i="20"/>
  <c r="T61" i="20" s="1"/>
  <c r="P61" i="20"/>
  <c r="S60" i="20"/>
  <c r="F33" i="11" s="1"/>
  <c r="P33" i="11" s="1"/>
  <c r="Q33" i="11" s="1"/>
  <c r="K36" i="11"/>
  <c r="S61" i="20" l="1"/>
  <c r="G34" i="11"/>
  <c r="O62" i="20"/>
  <c r="S62" i="20" s="1"/>
  <c r="F35" i="11" s="1"/>
  <c r="P62" i="20"/>
  <c r="Q62" i="20"/>
  <c r="R62" i="20"/>
  <c r="T62" i="20" s="1"/>
  <c r="G35" i="11" s="1"/>
  <c r="G37" i="11" s="1"/>
  <c r="B39" i="30" s="1"/>
  <c r="T63" i="20" l="1"/>
  <c r="G36" i="11"/>
  <c r="P35" i="11"/>
  <c r="F34" i="11"/>
  <c r="S63" i="20"/>
  <c r="Q35" i="11" l="1"/>
  <c r="P34" i="11"/>
  <c r="F36" i="11"/>
  <c r="F37" i="11"/>
  <c r="Q34" i="11" l="1"/>
  <c r="Q37" i="11" s="1"/>
  <c r="P36" i="11"/>
  <c r="P37" i="11"/>
  <c r="B38" i="11" l="1"/>
  <c r="E38" i="11"/>
  <c r="B5" i="30"/>
  <c r="F38" i="11"/>
  <c r="G38" i="11"/>
  <c r="C38" i="11"/>
  <c r="E37" i="30" l="1"/>
  <c r="B8" i="30"/>
  <c r="B7" i="30"/>
  <c r="E39" i="30" s="1"/>
  <c r="E40" i="30" l="1"/>
  <c r="E50" i="30"/>
  <c r="E49" i="30"/>
  <c r="E48" i="30"/>
  <c r="E47" i="30"/>
  <c r="E46" i="30"/>
</calcChain>
</file>

<file path=xl/sharedStrings.xml><?xml version="1.0" encoding="utf-8"?>
<sst xmlns="http://schemas.openxmlformats.org/spreadsheetml/2006/main" count="1216" uniqueCount="545">
  <si>
    <t>Total Discounted Benefits</t>
  </si>
  <si>
    <t>Total Discounted Costs</t>
  </si>
  <si>
    <t>Net Present Value</t>
  </si>
  <si>
    <t>Benefit Cost Ratio</t>
  </si>
  <si>
    <t>Year</t>
  </si>
  <si>
    <t>Capital Cost</t>
  </si>
  <si>
    <t>Discounted Capital Cost</t>
  </si>
  <si>
    <t>Operations and Maintenance</t>
  </si>
  <si>
    <t>Safety</t>
  </si>
  <si>
    <t>Travel Time Savings</t>
  </si>
  <si>
    <t>Vehicle Operating Cost Savings</t>
  </si>
  <si>
    <t>Health Benefits</t>
  </si>
  <si>
    <t>Amenity Benefits</t>
  </si>
  <si>
    <t>Other Benefit 1</t>
  </si>
  <si>
    <t>Other Benefit 2</t>
  </si>
  <si>
    <t>Other Benefit 3</t>
  </si>
  <si>
    <t>Other Benefit 4</t>
  </si>
  <si>
    <t>Total Benefits</t>
  </si>
  <si>
    <t>Residual Value</t>
  </si>
  <si>
    <t>Total</t>
  </si>
  <si>
    <t>KABCO Level</t>
  </si>
  <si>
    <t>O - No Injury</t>
  </si>
  <si>
    <t>C - Possible Injury</t>
  </si>
  <si>
    <t>B - Non-incapacitating</t>
  </si>
  <si>
    <t>A - Incapacitating</t>
  </si>
  <si>
    <t>K - Killed</t>
  </si>
  <si>
    <t>U - Injured (Severity Unknown)</t>
  </si>
  <si>
    <t>Crash Type</t>
  </si>
  <si>
    <t>Injury Crash</t>
  </si>
  <si>
    <t>Fatal Crash</t>
  </si>
  <si>
    <t>Recommended Hourly Values of Travel Time Savings</t>
  </si>
  <si>
    <t>Category</t>
  </si>
  <si>
    <t>Hourly Value</t>
  </si>
  <si>
    <t>General Travel Time</t>
  </si>
  <si>
    <t>Truck Drivers</t>
  </si>
  <si>
    <t>Bus Drivers</t>
  </si>
  <si>
    <t>Transit Rail Operators</t>
  </si>
  <si>
    <t>Locomotive Engineers</t>
  </si>
  <si>
    <r>
      <t>Personal</t>
    </r>
    <r>
      <rPr>
        <vertAlign val="superscript"/>
        <sz val="11"/>
        <color rgb="FF1F497D"/>
        <rFont val="Times New Roman"/>
        <family val="1"/>
      </rPr>
      <t>1</t>
    </r>
  </si>
  <si>
    <r>
      <t>Business</t>
    </r>
    <r>
      <rPr>
        <vertAlign val="superscript"/>
        <sz val="11"/>
        <color rgb="FF1F497D"/>
        <rFont val="Times New Roman"/>
        <family val="1"/>
      </rPr>
      <t>2</t>
    </r>
  </si>
  <si>
    <r>
      <t>All Purpose</t>
    </r>
    <r>
      <rPr>
        <vertAlign val="superscript"/>
        <sz val="11"/>
        <color rgb="FF1F497D"/>
        <rFont val="Times New Roman"/>
        <family val="1"/>
      </rPr>
      <t>3</t>
    </r>
  </si>
  <si>
    <r>
      <t>Walking, Cycling, Waiting, Standing, and Transfer Time</t>
    </r>
    <r>
      <rPr>
        <vertAlign val="superscript"/>
        <sz val="11"/>
        <color rgb="FF1F497D"/>
        <rFont val="Times New Roman"/>
        <family val="1"/>
      </rPr>
      <t>4</t>
    </r>
  </si>
  <si>
    <r>
      <t>Commercial Vehicle Operators</t>
    </r>
    <r>
      <rPr>
        <vertAlign val="superscript"/>
        <sz val="11"/>
        <color rgb="FF1F497D"/>
        <rFont val="Times New Roman"/>
        <family val="1"/>
      </rPr>
      <t>5</t>
    </r>
  </si>
  <si>
    <t>2)  Weighted average based on a typical distribution of local travel by surface modes (88.2% personal, 11.8% business). Applicants should apply their own distribution of business versus personal travel where such information is available.</t>
  </si>
  <si>
    <t>4)  Should be applied only when actions affect those elements of travel time.</t>
  </si>
  <si>
    <t>5)  Includes only the value of time for the operator, not passengers or freight.</t>
  </si>
  <si>
    <t>Vehicle Type</t>
  </si>
  <si>
    <t>Average Occupancy</t>
  </si>
  <si>
    <t>Passenger Vehicles (Weekday Off-Peak)</t>
  </si>
  <si>
    <t>Passenger Vehicles (Weekend)</t>
  </si>
  <si>
    <t>Passenger Vehicles (All Travel)</t>
  </si>
  <si>
    <r>
      <t>Passenger Vehicles (Weekday Peak)</t>
    </r>
    <r>
      <rPr>
        <vertAlign val="superscript"/>
        <sz val="11"/>
        <color rgb="FF1F497D"/>
        <rFont val="Times New Roman"/>
        <family val="1"/>
      </rPr>
      <t>1</t>
    </r>
  </si>
  <si>
    <t>1) Weekday peak period values calculated for trips starting between 6:00 AM-8:59 AM and 4:00 PM-6:59 PM.</t>
  </si>
  <si>
    <t>1)  Based on an average light duty vehicle and includes operating costs such as gasoline, maintenance, tires, and depreciation (assuming an average of 15,000 miles driven per year). The value omits other ownership costs that are mostly fixed or transfers (insurance, license, registration, taxes, and financing charges).</t>
  </si>
  <si>
    <t>2)  Value includes fuel costs, truck/trailer lease or purchase payments, repair and maintenance, truck insurance premiums, permits and licenses, and tires. The value omits tolls (which are transfers), and driver wages and benefits (which are already included in the value of travel time savings).</t>
  </si>
  <si>
    <t>Emission Type</t>
  </si>
  <si>
    <t>Table A-6: Damage Costs for Emissions per Metric Ton*</t>
  </si>
  <si>
    <t>Table A-7: Inflation Adjustment Values</t>
  </si>
  <si>
    <t>Base Year of Nominal Dollar</t>
  </si>
  <si>
    <t>Table A-8: Pedestrian Facility Improvements Revealed Preference Values</t>
  </si>
  <si>
    <t>Improvement Type</t>
  </si>
  <si>
    <t>Reducing Upslope by 1%</t>
  </si>
  <si>
    <t>Reducing Traffic Volume by 1 Vehicle per Hour (for ADT &lt;55,000)</t>
  </si>
  <si>
    <t>Install Signal for Pedestrian Crossing on Roadway with Volumes ≥13,000 Vehicles per Day</t>
  </si>
  <si>
    <t>1)   These values assume an average walking trip speed of 3.2 miles per hour. For the mile-based benefits, the estimated value per user should be capped at 0.86 miles, the average length of a walking trip in the 2017 National Household Travel Survey, unless the applicant has specific documentation suggesting longer trips or that a trip shorter than 0.86 miles is not feasible on the facility in question. In other words, applicants should not assume all pedestrians travel the full distance of a proposed facility if the facility is longer than 0.86 miles without a clear justification for doing so.</t>
  </si>
  <si>
    <t>2)   Value for sidewalk width expansion applicable for sidewalks up to approximately 31 feet, benefits for expansions beyond this width should be described qualitatively.</t>
  </si>
  <si>
    <t>Table A-9: Cycling Facility Improvement Revealed Preference Values</t>
  </si>
  <si>
    <t>Facility Type</t>
  </si>
  <si>
    <t>Cycling Path with At-Grade Crossings</t>
  </si>
  <si>
    <t>Dedicated Cycling Lane</t>
  </si>
  <si>
    <t>Cycling Boulevard/“Sharrow”</t>
  </si>
  <si>
    <t>Separated Cycle Track</t>
  </si>
  <si>
    <r>
      <t>Cycling Path with no At-Grade Crossings</t>
    </r>
    <r>
      <rPr>
        <vertAlign val="superscript"/>
        <sz val="11"/>
        <color rgb="FF1F497D"/>
        <rFont val="Times New Roman"/>
        <family val="1"/>
      </rPr>
      <t>2</t>
    </r>
  </si>
  <si>
    <t>2) The value for a cycling path with no at-grade intersections is higher due to an assumption of higher average speed of 12.1 miles per hour, resulting in less time on the facility, which lowers journey quality benefits but increases travel time savings.</t>
  </si>
  <si>
    <t>1) Values should only be applied over sections for which a comparable parallel facility is not available, and only applies to miles cycled on the project facility. These values assume an average cycling trip speed of 9.8 miles per hour or, in the case of off-street paths with no at-grade crossings, a free-flow cycling speed of 12.1 miles per hour. The estimated value per cyclist should be capped at 2.38 miles, the average length of a cycling trip in the 2017 National Household Travel Survey, unless the applicant has specific documentation suggesting longer trips or that a trip shorter than 2.38 miles is not feasible on the facility in question. In other words, applicants should not assume all cyclists travel the full distance of a proposed facility if the facility is longer than 2.38 miles without a clear justification for doing so.</t>
  </si>
  <si>
    <r>
      <t>Light Duty Vehicles</t>
    </r>
    <r>
      <rPr>
        <vertAlign val="superscript"/>
        <sz val="11"/>
        <color theme="1"/>
        <rFont val="Times New Roman"/>
        <family val="1"/>
      </rPr>
      <t>1</t>
    </r>
  </si>
  <si>
    <r>
      <t>Commercial Trucks</t>
    </r>
    <r>
      <rPr>
        <vertAlign val="superscript"/>
        <sz val="11"/>
        <color theme="1"/>
        <rFont val="Times New Roman"/>
        <family val="1"/>
      </rPr>
      <t>2</t>
    </r>
  </si>
  <si>
    <r>
      <t>**Applicants should be careful to not apply the PM</t>
    </r>
    <r>
      <rPr>
        <vertAlign val="subscript"/>
        <sz val="11"/>
        <color rgb="FF1F497D"/>
        <rFont val="Times New Roman"/>
        <family val="1"/>
      </rPr>
      <t>2.5</t>
    </r>
    <r>
      <rPr>
        <sz val="11"/>
        <color rgb="FF1F497D"/>
        <rFont val="Times New Roman"/>
        <family val="1"/>
      </rPr>
      <t xml:space="preserve"> value to estimates of total emissions of PM</t>
    </r>
    <r>
      <rPr>
        <vertAlign val="subscript"/>
        <sz val="11"/>
        <color rgb="FF1F497D"/>
        <rFont val="Times New Roman"/>
        <family val="1"/>
      </rPr>
      <t>10</t>
    </r>
    <r>
      <rPr>
        <sz val="11"/>
        <color rgb="FF1F497D"/>
        <rFont val="Times New Roman"/>
        <family val="1"/>
      </rPr>
      <t>.</t>
    </r>
  </si>
  <si>
    <r>
      <t>Expand Sidewalk (per foot of added width)</t>
    </r>
    <r>
      <rPr>
        <vertAlign val="superscript"/>
        <sz val="11"/>
        <color rgb="FF1F497D"/>
        <rFont val="Times New Roman"/>
        <family val="1"/>
      </rPr>
      <t>2</t>
    </r>
  </si>
  <si>
    <t>Reducing Traffic Speed by 1 mph (for speeds ≤45 mph)</t>
  </si>
  <si>
    <t>Install Marked-Crosswalk on Roadway with Volumes ≥10,000 Vehicle per Day</t>
  </si>
  <si>
    <t>Table A-10: Transit Facility Amenity Revealed and Stated Preference Values</t>
  </si>
  <si>
    <t>Attribute Type</t>
  </si>
  <si>
    <t>Bus</t>
  </si>
  <si>
    <t>Bus Stop</t>
  </si>
  <si>
    <t>Rail Station</t>
  </si>
  <si>
    <t>Light Rail /Streetcar Stop</t>
  </si>
  <si>
    <t>Clocks</t>
  </si>
  <si>
    <t>Electronic Real-Time Information Displays</t>
  </si>
  <si>
    <t>Information /Emergency Button</t>
  </si>
  <si>
    <t>PA System</t>
  </si>
  <si>
    <t>Restroom Availability</t>
  </si>
  <si>
    <t>Retail/Food Outlet Availability</t>
  </si>
  <si>
    <t>Staff Availability</t>
  </si>
  <si>
    <t>Step-Free Access to Station/Stop</t>
  </si>
  <si>
    <t>Step-Free Access to Vehicle</t>
  </si>
  <si>
    <t>Surveillance Cameras</t>
  </si>
  <si>
    <t>Ticket Machines</t>
  </si>
  <si>
    <t>Timetables</t>
  </si>
  <si>
    <t>Bike Facilities</t>
  </si>
  <si>
    <t>*</t>
  </si>
  <si>
    <t>Car Access Facilities</t>
  </si>
  <si>
    <t>Elevator</t>
  </si>
  <si>
    <t>Escalators</t>
  </si>
  <si>
    <t>On-Site Ticket Office</t>
  </si>
  <si>
    <t>Taxi Pickup/Dropoff</t>
  </si>
  <si>
    <r>
      <t>Platform/Stop Seating Availability</t>
    </r>
    <r>
      <rPr>
        <vertAlign val="superscript"/>
        <sz val="11"/>
        <color rgb="FF1F497D"/>
        <rFont val="Times New Roman"/>
        <family val="1"/>
      </rPr>
      <t>1</t>
    </r>
  </si>
  <si>
    <r>
      <t>Platform/Stop Weather Protection</t>
    </r>
    <r>
      <rPr>
        <vertAlign val="superscript"/>
        <sz val="11"/>
        <color rgb="FF1F497D"/>
        <rFont val="Times New Roman"/>
        <family val="1"/>
      </rPr>
      <t>1</t>
    </r>
  </si>
  <si>
    <r>
      <t>Temperature Controlled Environment</t>
    </r>
    <r>
      <rPr>
        <vertAlign val="superscript"/>
        <sz val="11"/>
        <color rgb="FF1F497D"/>
        <rFont val="Times New Roman"/>
        <family val="1"/>
      </rPr>
      <t>1</t>
    </r>
  </si>
  <si>
    <r>
      <t>Waiting Room</t>
    </r>
    <r>
      <rPr>
        <vertAlign val="superscript"/>
        <sz val="11"/>
        <color rgb="FF1F497D"/>
        <rFont val="Times New Roman"/>
        <family val="1"/>
      </rPr>
      <t>1</t>
    </r>
  </si>
  <si>
    <t>1)  Note that seating availability and weather protection refer to seats, canopies, or wind shelters on the platforms themselves, whereas temperature-controlled environment refers to an indoor facility with heating and air conditioning availability. A waiting room refers to a designated indoor environment with seating availability, separate from platform seating, which may or may not be temperature controlled.</t>
  </si>
  <si>
    <t>Table A-11: Transit Vehicle Amenity Values</t>
  </si>
  <si>
    <t>Light Rail /Streetcar</t>
  </si>
  <si>
    <t>Rail</t>
  </si>
  <si>
    <t>Handrails</t>
  </si>
  <si>
    <t>Luggage Storage</t>
  </si>
  <si>
    <t>Temperature Control</t>
  </si>
  <si>
    <t>Wheelchair Space</t>
  </si>
  <si>
    <t>Food Service Availability</t>
  </si>
  <si>
    <t>Table A-12: Transit Mode Ride and Boarding Quality Revealed Preference Values</t>
  </si>
  <si>
    <t>Transit Mode</t>
  </si>
  <si>
    <t>Streetcar or On-Street Light Rail Transit</t>
  </si>
  <si>
    <t>Off-Street Light Rail Transit</t>
  </si>
  <si>
    <t>Heavy Rail</t>
  </si>
  <si>
    <t>Commuter Rail</t>
  </si>
  <si>
    <r>
      <t>Low-Intensive BRT</t>
    </r>
    <r>
      <rPr>
        <vertAlign val="superscript"/>
        <sz val="11"/>
        <color theme="1"/>
        <rFont val="Calibri"/>
        <family val="2"/>
        <scheme val="minor"/>
      </rPr>
      <t>2</t>
    </r>
  </si>
  <si>
    <r>
      <t>Medium-Intensive BRT</t>
    </r>
    <r>
      <rPr>
        <vertAlign val="superscript"/>
        <sz val="11"/>
        <color theme="1"/>
        <rFont val="Calibri"/>
        <family val="2"/>
        <scheme val="minor"/>
      </rPr>
      <t>2</t>
    </r>
  </si>
  <si>
    <r>
      <t>High-Intensive BRT</t>
    </r>
    <r>
      <rPr>
        <vertAlign val="superscript"/>
        <sz val="11"/>
        <color theme="1"/>
        <rFont val="Calibri"/>
        <family val="2"/>
        <scheme val="minor"/>
      </rPr>
      <t>2,3</t>
    </r>
  </si>
  <si>
    <r>
      <t>Ferry</t>
    </r>
    <r>
      <rPr>
        <vertAlign val="superscript"/>
        <sz val="11"/>
        <color theme="1"/>
        <rFont val="Calibri"/>
        <family val="2"/>
        <scheme val="minor"/>
      </rPr>
      <t>3</t>
    </r>
  </si>
  <si>
    <t>1) Values applicable when base case is transit use of standard on-street bus, the reference case used to create these values. When comparing other types of modal shift, the differences between the relevant modal values above should be used.</t>
  </si>
  <si>
    <t>2) Low-intensive BRT would include special service branding, low floor vehicles, at least 50 percent of route in dedicated lanes and potentially shared turns and the remainder in mixed-traffic, some signal priority, level boarding, off-board fare collection, and visually distinct stations. Medium-intensive BRT would include features of Low-intensive BRT but have 100 percent of the route in dedicated lanes, traffic signal priority throughout the corridor, and median-running service or right-turn prohibitions. High-intensive BRT would have a completely sealed right-of-way with no traffic interference and traffic signal preemption, akin to a “rubber-tired railroad.”</t>
  </si>
  <si>
    <t>Table A-13: Mortality Reduction Benefits of Induced Active Transportation Values</t>
  </si>
  <si>
    <t>Table A-14: External Highway Use Costs</t>
  </si>
  <si>
    <t>Mode</t>
  </si>
  <si>
    <r>
      <t>Walking</t>
    </r>
    <r>
      <rPr>
        <vertAlign val="superscript"/>
        <sz val="11"/>
        <color theme="1"/>
        <rFont val="Calibri"/>
        <family val="2"/>
        <scheme val="minor"/>
      </rPr>
      <t>1</t>
    </r>
  </si>
  <si>
    <r>
      <t>Cycling</t>
    </r>
    <r>
      <rPr>
        <vertAlign val="superscript"/>
        <sz val="11"/>
        <color theme="1"/>
        <rFont val="Calibri"/>
        <family val="2"/>
        <scheme val="minor"/>
      </rPr>
      <t>2</t>
    </r>
  </si>
  <si>
    <t>Ages 20-74</t>
  </si>
  <si>
    <t>Ages 20-64</t>
  </si>
  <si>
    <t xml:space="preserve">1)   Based on an assumed average walking speed of 3.2 miles per hour, an assumed average age of the relevant age range (20-74 years) of 45, a corresponding baseline mortality risk of 267.1 per 100,000, an annual risk reduction of 8.6 percent per daily mile walked, and an average walking trip distance of 0.86 miles. </t>
  </si>
  <si>
    <t>2)   Based on an assumed average cycling speed of 9.8 miles per hour, an assumed average age of the relevant age range (20-64 years) of 42, a corresponding baseline mortality risk of 217.9 per 100,000, an annual risk reduction of 4.3 percent per daily mile cycled, and an average cycling trip distance of 2.38 miles.</t>
  </si>
  <si>
    <t>3)   Absent more localized data on the proportion of the expected users falling into the age ranges above, applicants may apply a general assumption of 68% and 59% of overall induced trips falling into the walking and cycling age ranges, respectively, assuming a distribution matching the national average.</t>
  </si>
  <si>
    <t xml:space="preserve">4)   Applicants should ensure these monetization values are only applied to trips induced from non-active transportation modes within the relevant age ranges for each mode. Absent more localized data on the proportion of induced trips coming from non-active transportation modes, applicants may apply a general assumption of 89% of induced trips falling into that category, assuming a distribution matching the national average travel pattern. </t>
  </si>
  <si>
    <t>Vehicle Type and Location</t>
  </si>
  <si>
    <t>Congestion</t>
  </si>
  <si>
    <t>Noise</t>
  </si>
  <si>
    <t>Safety Cost</t>
  </si>
  <si>
    <t>Light-Duty Vehicles - Urban</t>
  </si>
  <si>
    <t>Light-Duty Vehicles - Rural</t>
  </si>
  <si>
    <t>Light-Duty Vehicles – All Locations</t>
  </si>
  <si>
    <t>Buses and Trucks - Urban</t>
  </si>
  <si>
    <t>Buses and Trucks - Rural</t>
  </si>
  <si>
    <t>Buses and Trucks – All Locations</t>
  </si>
  <si>
    <t>All Vehicles - Urban</t>
  </si>
  <si>
    <t>All Vehicles - Rural</t>
  </si>
  <si>
    <t>All Vehicles – All Locations</t>
  </si>
  <si>
    <t>Capital Cost in Year-of-Expenditure Dollars</t>
  </si>
  <si>
    <t>3) The Capital Investment Grant program has to date not completed a before-and-after study of ridership on a ferry project or a high-intensive BRT as described above, and thus does not have a calibrated estimate for the fixedguideway setting for those modes. Thus, these values represent the current best estimates, considering average station and ride quality relative to other transit modes.</t>
  </si>
  <si>
    <t>&lt;- Benefit Name</t>
  </si>
  <si>
    <t>Model Base Year</t>
  </si>
  <si>
    <t>Workspace - Applicants may create new sheets for more space</t>
  </si>
  <si>
    <t>Note that not all projects will have all benefit categories. Conversely, if more categories are needed, applicants may need to add additional columns, but be sure to edit the formula under "Total Benefits" to ensure all benefits are being correctly summed.</t>
  </si>
  <si>
    <t>Net Change in Operations and Maintenance Costs</t>
  </si>
  <si>
    <t>Opening Year</t>
  </si>
  <si>
    <t>Length of Construction/Project Development Period (in Years)</t>
  </si>
  <si>
    <t>Operational Period Length</t>
  </si>
  <si>
    <t>&lt;-Enter a whole number value between 1 and 15, only include project development years after the model base year</t>
  </si>
  <si>
    <t>Safety Benefits</t>
  </si>
  <si>
    <t>Travel Time Benefits</t>
  </si>
  <si>
    <t>Final Analysis Year</t>
  </si>
  <si>
    <t>No Build Operations and Maintenance Costs</t>
  </si>
  <si>
    <t>Build Operations and Maintenance Costs</t>
  </si>
  <si>
    <t>No Build Safety Costs</t>
  </si>
  <si>
    <t>Build Safety Costs</t>
  </si>
  <si>
    <t>No Build Travel Time Costs</t>
  </si>
  <si>
    <t>Build Travel Time Costs</t>
  </si>
  <si>
    <t>Discounted Total</t>
  </si>
  <si>
    <t>Applicants should fill out this sheet first, before moving on to the remainder of the template sheets.</t>
  </si>
  <si>
    <t xml:space="preserve">In this "Capital Costs" sheet,  values should be entered as year-of-expenditure dollars. The template will automatically apply discounting to all costs and benefits for you. </t>
  </si>
  <si>
    <t>Business</t>
  </si>
  <si>
    <t>All Purpose</t>
  </si>
  <si>
    <t>Walking, Cycling, Waiting, Standing, and Transfer Time</t>
  </si>
  <si>
    <t>Commercial Vehicle Operators</t>
  </si>
  <si>
    <t>Personal</t>
  </si>
  <si>
    <t>Pedestrians</t>
  </si>
  <si>
    <t>Cyclists</t>
  </si>
  <si>
    <t>Vehicles</t>
  </si>
  <si>
    <t>No Build</t>
  </si>
  <si>
    <t>Build</t>
  </si>
  <si>
    <t>Light Duty Vehicles</t>
  </si>
  <si>
    <t>Commercial Trucks</t>
  </si>
  <si>
    <t>Applicable Age Range</t>
  </si>
  <si>
    <t>Walking</t>
  </si>
  <si>
    <t>Cycling</t>
  </si>
  <si>
    <t>---------------------------------------------------------------------------------------------------------------------------------------------------------------------------------------------------------------</t>
  </si>
  <si>
    <t>-------------------------------------------------------------------------------------------------------------------------------------------------------------------------------------------------------------</t>
  </si>
  <si>
    <t>What You Need</t>
  </si>
  <si>
    <t>Notes</t>
  </si>
  <si>
    <t>Parameter Values</t>
  </si>
  <si>
    <t>-</t>
  </si>
  <si>
    <r>
      <t>Applicable Age Range</t>
    </r>
    <r>
      <rPr>
        <vertAlign val="superscript"/>
        <sz val="11"/>
        <color theme="0"/>
        <rFont val="Calibri"/>
        <family val="2"/>
        <scheme val="minor"/>
      </rPr>
      <t>3</t>
    </r>
  </si>
  <si>
    <r>
      <t>NO</t>
    </r>
    <r>
      <rPr>
        <vertAlign val="subscript"/>
        <sz val="11"/>
        <color theme="0"/>
        <rFont val="Times New Roman"/>
        <family val="1"/>
      </rPr>
      <t>X</t>
    </r>
  </si>
  <si>
    <r>
      <t>SO</t>
    </r>
    <r>
      <rPr>
        <vertAlign val="subscript"/>
        <sz val="11"/>
        <color theme="0"/>
        <rFont val="Times New Roman"/>
        <family val="1"/>
      </rPr>
      <t>X</t>
    </r>
  </si>
  <si>
    <r>
      <t>PM</t>
    </r>
    <r>
      <rPr>
        <vertAlign val="subscript"/>
        <sz val="11"/>
        <color theme="0"/>
        <rFont val="Times New Roman"/>
        <family val="1"/>
      </rPr>
      <t>2.5</t>
    </r>
    <r>
      <rPr>
        <sz val="11"/>
        <color theme="0"/>
        <rFont val="Times New Roman"/>
        <family val="1"/>
      </rPr>
      <t>**</t>
    </r>
  </si>
  <si>
    <r>
      <t>CO</t>
    </r>
    <r>
      <rPr>
        <vertAlign val="subscript"/>
        <sz val="11"/>
        <color theme="0"/>
        <rFont val="Times New Roman"/>
        <family val="1"/>
      </rPr>
      <t>2</t>
    </r>
  </si>
  <si>
    <t>Project Information</t>
  </si>
  <si>
    <t>Table 1. Project Information</t>
  </si>
  <si>
    <t>Variable</t>
  </si>
  <si>
    <t>Value</t>
  </si>
  <si>
    <t>If you do not wish to use this sheet, simply leave the values blank and move on to the next sheet.</t>
  </si>
  <si>
    <t xml:space="preserve">Users are free to use only the necessary columns for their application and/or to add additional columns as necessary. </t>
  </si>
  <si>
    <t>Table 1. BCA Results</t>
  </si>
  <si>
    <t>Table 1. Volumes by Mode</t>
  </si>
  <si>
    <t>Capital Costs</t>
  </si>
  <si>
    <t>Benefit Cost Analysis Results</t>
  </si>
  <si>
    <t>Summary by Benefit Area</t>
  </si>
  <si>
    <t>Operations and Maintenance Costs</t>
  </si>
  <si>
    <t>Vehicle Operating Costs</t>
  </si>
  <si>
    <t>Emissions Reduction</t>
  </si>
  <si>
    <r>
      <t>No Build NO</t>
    </r>
    <r>
      <rPr>
        <vertAlign val="subscript"/>
        <sz val="11"/>
        <color theme="0"/>
        <rFont val="Calibri"/>
        <family val="2"/>
        <scheme val="minor"/>
      </rPr>
      <t>x</t>
    </r>
    <r>
      <rPr>
        <sz val="11"/>
        <color theme="0"/>
        <rFont val="Calibri"/>
        <family val="2"/>
        <scheme val="minor"/>
      </rPr>
      <t xml:space="preserve"> (mt)</t>
    </r>
  </si>
  <si>
    <r>
      <t>Build NO</t>
    </r>
    <r>
      <rPr>
        <vertAlign val="subscript"/>
        <sz val="11"/>
        <color theme="0"/>
        <rFont val="Calibri"/>
        <family val="2"/>
        <scheme val="minor"/>
      </rPr>
      <t>x</t>
    </r>
    <r>
      <rPr>
        <sz val="11"/>
        <color theme="0"/>
        <rFont val="Calibri"/>
        <family val="2"/>
        <scheme val="minor"/>
      </rPr>
      <t xml:space="preserve"> (mt)</t>
    </r>
  </si>
  <si>
    <r>
      <t>No Build SO</t>
    </r>
    <r>
      <rPr>
        <vertAlign val="subscript"/>
        <sz val="11"/>
        <color theme="0"/>
        <rFont val="Calibri"/>
        <family val="2"/>
        <scheme val="minor"/>
      </rPr>
      <t>x</t>
    </r>
    <r>
      <rPr>
        <sz val="11"/>
        <color theme="0"/>
        <rFont val="Calibri"/>
        <family val="2"/>
        <scheme val="minor"/>
      </rPr>
      <t xml:space="preserve"> (mt)</t>
    </r>
  </si>
  <si>
    <r>
      <t>Build SO</t>
    </r>
    <r>
      <rPr>
        <vertAlign val="subscript"/>
        <sz val="11"/>
        <color theme="0"/>
        <rFont val="Calibri"/>
        <family val="2"/>
        <scheme val="minor"/>
      </rPr>
      <t>x</t>
    </r>
    <r>
      <rPr>
        <sz val="11"/>
        <color theme="0"/>
        <rFont val="Calibri"/>
        <family val="2"/>
        <scheme val="minor"/>
      </rPr>
      <t xml:space="preserve"> (mt)</t>
    </r>
  </si>
  <si>
    <r>
      <t>No Build PM</t>
    </r>
    <r>
      <rPr>
        <vertAlign val="subscript"/>
        <sz val="11"/>
        <color theme="0"/>
        <rFont val="Calibri"/>
        <family val="2"/>
        <scheme val="minor"/>
      </rPr>
      <t>2.5</t>
    </r>
    <r>
      <rPr>
        <sz val="11"/>
        <color theme="0"/>
        <rFont val="Calibri"/>
        <family val="2"/>
        <scheme val="minor"/>
      </rPr>
      <t xml:space="preserve"> (mt)</t>
    </r>
  </si>
  <si>
    <r>
      <t>Build PM</t>
    </r>
    <r>
      <rPr>
        <vertAlign val="subscript"/>
        <sz val="11"/>
        <color theme="0"/>
        <rFont val="Calibri"/>
        <family val="2"/>
        <scheme val="minor"/>
      </rPr>
      <t>2.5</t>
    </r>
    <r>
      <rPr>
        <sz val="11"/>
        <color theme="0"/>
        <rFont val="Calibri"/>
        <family val="2"/>
        <scheme val="minor"/>
      </rPr>
      <t xml:space="preserve"> (mt)</t>
    </r>
  </si>
  <si>
    <r>
      <t>No Build CO</t>
    </r>
    <r>
      <rPr>
        <vertAlign val="subscript"/>
        <sz val="11"/>
        <color theme="0"/>
        <rFont val="Calibri"/>
        <family val="2"/>
        <scheme val="minor"/>
      </rPr>
      <t>2</t>
    </r>
    <r>
      <rPr>
        <sz val="11"/>
        <color theme="0"/>
        <rFont val="Calibri"/>
        <family val="2"/>
        <scheme val="minor"/>
      </rPr>
      <t xml:space="preserve"> (mt)</t>
    </r>
  </si>
  <si>
    <r>
      <t>Build CO</t>
    </r>
    <r>
      <rPr>
        <vertAlign val="subscript"/>
        <sz val="11"/>
        <color theme="0"/>
        <rFont val="Calibri"/>
        <family val="2"/>
        <scheme val="minor"/>
      </rPr>
      <t>2</t>
    </r>
    <r>
      <rPr>
        <sz val="11"/>
        <color theme="0"/>
        <rFont val="Calibri"/>
        <family val="2"/>
        <scheme val="minor"/>
      </rPr>
      <t xml:space="preserve"> (mt)</t>
    </r>
  </si>
  <si>
    <r>
      <t>NO</t>
    </r>
    <r>
      <rPr>
        <vertAlign val="subscript"/>
        <sz val="11"/>
        <color theme="0"/>
        <rFont val="Calibri"/>
        <family val="2"/>
        <scheme val="minor"/>
      </rPr>
      <t>x</t>
    </r>
  </si>
  <si>
    <r>
      <t>SO</t>
    </r>
    <r>
      <rPr>
        <vertAlign val="subscript"/>
        <sz val="11"/>
        <color theme="0"/>
        <rFont val="Calibri"/>
        <family val="2"/>
        <scheme val="minor"/>
      </rPr>
      <t>x</t>
    </r>
  </si>
  <si>
    <r>
      <t>PM</t>
    </r>
    <r>
      <rPr>
        <vertAlign val="subscript"/>
        <sz val="11"/>
        <color theme="0"/>
        <rFont val="Calibri"/>
        <family val="2"/>
        <scheme val="minor"/>
      </rPr>
      <t>2.5</t>
    </r>
  </si>
  <si>
    <r>
      <t>CO</t>
    </r>
    <r>
      <rPr>
        <vertAlign val="subscript"/>
        <sz val="11"/>
        <color theme="0"/>
        <rFont val="Calibri"/>
        <family val="2"/>
        <scheme val="minor"/>
      </rPr>
      <t>2</t>
    </r>
  </si>
  <si>
    <r>
      <t>Non-CO</t>
    </r>
    <r>
      <rPr>
        <vertAlign val="subscript"/>
        <sz val="11"/>
        <color theme="0"/>
        <rFont val="Calibri"/>
        <family val="2"/>
        <scheme val="minor"/>
      </rPr>
      <t>2</t>
    </r>
    <r>
      <rPr>
        <sz val="11"/>
        <color theme="0"/>
        <rFont val="Calibri"/>
        <family val="2"/>
        <scheme val="minor"/>
      </rPr>
      <t xml:space="preserve"> Emission Reduction</t>
    </r>
  </si>
  <si>
    <r>
      <t>CO</t>
    </r>
    <r>
      <rPr>
        <vertAlign val="subscript"/>
        <sz val="11"/>
        <color theme="0"/>
        <rFont val="Calibri"/>
        <family val="2"/>
        <scheme val="minor"/>
      </rPr>
      <t>2</t>
    </r>
    <r>
      <rPr>
        <sz val="11"/>
        <color theme="0"/>
        <rFont val="Calibri"/>
        <family val="2"/>
        <scheme val="minor"/>
      </rPr>
      <t xml:space="preserve"> Emission Reduction</t>
    </r>
  </si>
  <si>
    <t>This is an extra benefit sheet for an additional benefit category not captured elsewhere</t>
  </si>
  <si>
    <t xml:space="preserve">Note that if more than four "other benefit" categories are needed, applicants may create a copy of this sheet (and rename accordingly). </t>
  </si>
  <si>
    <t>Additionally, the formulas in the "Total Benefits" column may need to be adjusted to ensure all benefits are being summed correctly.</t>
  </si>
  <si>
    <t>Additionally, the "Summary" sheet will need to be edited to include additional columns for benefits.</t>
  </si>
  <si>
    <t>Table 1. Summary of Benefits</t>
  </si>
  <si>
    <t>Table 2. Summary of Costs</t>
  </si>
  <si>
    <t>Note that not all projects will have benefits in all categories. In such cases, simply leave the input values in that sheet as zeros and move to the next sheet.</t>
  </si>
  <si>
    <t>Table 1. Recommended Monetization Values</t>
  </si>
  <si>
    <t>Table 2. Safety</t>
  </si>
  <si>
    <t>Table 2. Travel Time Savings</t>
  </si>
  <si>
    <t>Table 2. Vehicle Operating Costs</t>
  </si>
  <si>
    <t>Table 2. Amenity Benefits</t>
  </si>
  <si>
    <t>Table 2. Health Benefits</t>
  </si>
  <si>
    <t>Table 1. Other Benefit</t>
  </si>
  <si>
    <t xml:space="preserve">For recommended monetization values, please refer to the Parameter Values tab directly. </t>
  </si>
  <si>
    <t>There are numerous potential values for pedestrian facilities, bicycle facilities, transit vehicles, and transit stations.</t>
  </si>
  <si>
    <t>Table 1. Operations and Maintenance</t>
  </si>
  <si>
    <t>Table 1. Capital Costs</t>
  </si>
  <si>
    <r>
      <t xml:space="preserve">•  	</t>
    </r>
    <r>
      <rPr>
        <b/>
        <sz val="11"/>
        <rFont val="Calibri"/>
        <family val="2"/>
        <scheme val="minor"/>
      </rPr>
      <t xml:space="preserve">Deleting a Tab. </t>
    </r>
    <r>
      <rPr>
        <sz val="11"/>
        <rFont val="Calibri"/>
        <family val="2"/>
        <scheme val="minor"/>
      </rPr>
      <t>Do not delete tabs. If a tab is not needed, simply skip it.</t>
    </r>
  </si>
  <si>
    <t>Avoided Externalities</t>
  </si>
  <si>
    <t>Congestion Cost per VMT</t>
  </si>
  <si>
    <t>Noise Cost per VMT</t>
  </si>
  <si>
    <t>Safety Cost per VMT</t>
  </si>
  <si>
    <t>Table 2. Avoided Externality Benefits</t>
  </si>
  <si>
    <r>
      <t xml:space="preserve">•  	</t>
    </r>
    <r>
      <rPr>
        <b/>
        <sz val="11"/>
        <rFont val="Calibri"/>
        <family val="2"/>
        <scheme val="minor"/>
      </rPr>
      <t xml:space="preserve">Build vs No Build. </t>
    </r>
    <r>
      <rPr>
        <sz val="11"/>
        <rFont val="Calibri"/>
        <family val="2"/>
        <scheme val="minor"/>
      </rPr>
      <t>If you only have data for the difference between the Build and No Build scenarios, enter this data into the "Build" column and leave the "No Build" values at $0. This will still appropriately estimate the benefit</t>
    </r>
  </si>
  <si>
    <t xml:space="preserve">All values entered into input cells in this sheet should be entered as undiscounted 2022 dollar values. The template will automatically apply discounting to all costs and benefits for you. </t>
  </si>
  <si>
    <t>&lt;-The BCR will be estimated once capital costs are entered in the 'Capital Cost' sheet</t>
  </si>
  <si>
    <t>Table A-1a: Value of Reduced Fatalities, Injuries, and Crashes</t>
  </si>
  <si>
    <t>PDO Crash</t>
  </si>
  <si>
    <t>Table A-2: Value of Travel Time Savings</t>
  </si>
  <si>
    <t>(2022 $ per person-hour)</t>
  </si>
  <si>
    <t>3)  Note that business travel does not include commuting travel, which should be valued at the personal travel rate. Travel on high-speed rail service that would be competitive with air travel should be valued at $47.70 per hour for personal travel and $80.20 for business travel.</t>
  </si>
  <si>
    <t>Table A-3: Average Vehicle Occupancy Rates for Highway Passenger Vehicles</t>
  </si>
  <si>
    <t>Table A-4: Vehicle Operating Costs</t>
  </si>
  <si>
    <t>Recommended Value per Mile (2022 $)</t>
  </si>
  <si>
    <t>Table A-5: Train Operating and Social Costs</t>
  </si>
  <si>
    <t>*Applicants should carefully note whether their emissions data is reported in short tons or metric tons. A metric ton is equal to 1.1023 short tons.</t>
  </si>
  <si>
    <t>Train and Movement Type</t>
  </si>
  <si>
    <t>Idling</t>
  </si>
  <si>
    <t>Freight Train</t>
  </si>
  <si>
    <t>Commuter Train</t>
  </si>
  <si>
    <t>Amtrak Long-Distance</t>
  </si>
  <si>
    <t>Amtrak State-Supported</t>
  </si>
  <si>
    <t>Hauling</t>
  </si>
  <si>
    <t>All Movements</t>
  </si>
  <si>
    <t>Freight Railcar</t>
  </si>
  <si>
    <t>Operating Costs</t>
  </si>
  <si>
    <t>Recommended Value per Hour (2022 $)</t>
  </si>
  <si>
    <t>1)  Includes fuel cost, depreciation, and labor cost which should be discounted at 3.1 percent.</t>
  </si>
  <si>
    <r>
      <t>Operating Costs</t>
    </r>
    <r>
      <rPr>
        <vertAlign val="superscript"/>
        <sz val="11"/>
        <color theme="0"/>
        <rFont val="Times New Roman"/>
        <family val="1"/>
      </rPr>
      <t>1</t>
    </r>
  </si>
  <si>
    <r>
      <t>Non-CO</t>
    </r>
    <r>
      <rPr>
        <vertAlign val="subscript"/>
        <sz val="11"/>
        <color theme="0"/>
        <rFont val="Times New Roman"/>
        <family val="1"/>
      </rPr>
      <t>2</t>
    </r>
    <r>
      <rPr>
        <sz val="11"/>
        <color theme="0"/>
        <rFont val="Times New Roman"/>
        <family val="1"/>
      </rPr>
      <t xml:space="preserve"> Emission Costs</t>
    </r>
    <r>
      <rPr>
        <vertAlign val="superscript"/>
        <sz val="11"/>
        <color theme="0"/>
        <rFont val="Times New Roman"/>
        <family val="1"/>
      </rPr>
      <t>2</t>
    </r>
  </si>
  <si>
    <r>
      <t>CO</t>
    </r>
    <r>
      <rPr>
        <vertAlign val="subscript"/>
        <sz val="11"/>
        <color theme="0"/>
        <rFont val="Times New Roman"/>
        <family val="1"/>
      </rPr>
      <t>2</t>
    </r>
    <r>
      <rPr>
        <sz val="11"/>
        <color theme="0"/>
        <rFont val="Times New Roman"/>
        <family val="1"/>
      </rPr>
      <t xml:space="preserve"> Costs</t>
    </r>
    <r>
      <rPr>
        <vertAlign val="superscript"/>
        <sz val="11"/>
        <color theme="0"/>
        <rFont val="Times New Roman"/>
        <family val="1"/>
      </rPr>
      <t>2</t>
    </r>
  </si>
  <si>
    <t>2)  Emissions are based on the current diesel-electric locomotive fleet average, and thus the emission values above should not be applied in cases where new locomotives are being acquired or in cases of electrified rail. The monetization applies the 2035-year emission value to approximate increasing emission damage costs over time. Non-CO2 emission costs should be discounted at 3.1 percent and CO2 emission costs should be discounted at 2.0 percent.</t>
  </si>
  <si>
    <t>Multiplier to Adjust to Real 2022 $</t>
  </si>
  <si>
    <r>
      <t>Recommended Value per Person-Mile Walked (2022 $)</t>
    </r>
    <r>
      <rPr>
        <vertAlign val="superscript"/>
        <sz val="11"/>
        <color theme="0"/>
        <rFont val="Times New Roman"/>
        <family val="1"/>
      </rPr>
      <t>1</t>
    </r>
  </si>
  <si>
    <r>
      <t>Recommended Value per Use (2022 $)</t>
    </r>
    <r>
      <rPr>
        <vertAlign val="superscript"/>
        <sz val="11"/>
        <color theme="0"/>
        <rFont val="Times New Roman"/>
        <family val="1"/>
      </rPr>
      <t>1</t>
    </r>
  </si>
  <si>
    <r>
      <t>Recommended Value per Cycling Mile (2022 $)</t>
    </r>
    <r>
      <rPr>
        <vertAlign val="superscript"/>
        <sz val="11"/>
        <color theme="0"/>
        <rFont val="Times New Roman"/>
        <family val="1"/>
      </rPr>
      <t>1</t>
    </r>
  </si>
  <si>
    <t>Recommended Value per User Trip (2022 $)</t>
  </si>
  <si>
    <r>
      <t>Boarding Quality Benefit (Per Boarding) (2022 $)</t>
    </r>
    <r>
      <rPr>
        <vertAlign val="superscript"/>
        <sz val="11"/>
        <color theme="0"/>
        <rFont val="Calibri"/>
        <family val="2"/>
        <scheme val="minor"/>
      </rPr>
      <t>1</t>
    </r>
  </si>
  <si>
    <r>
      <t>Vehicle Ride Quality Benefit (Per Passenger Hour) (2022 $)</t>
    </r>
    <r>
      <rPr>
        <vertAlign val="superscript"/>
        <sz val="11"/>
        <color theme="0"/>
        <rFont val="Calibri"/>
        <family val="2"/>
        <scheme val="minor"/>
      </rPr>
      <t>1</t>
    </r>
  </si>
  <si>
    <r>
      <t>Recommended Value per Induced Trip (2022 $)</t>
    </r>
    <r>
      <rPr>
        <vertAlign val="superscript"/>
        <sz val="11"/>
        <color theme="0"/>
        <rFont val="Calibri"/>
        <family val="2"/>
        <scheme val="minor"/>
      </rPr>
      <t>4</t>
    </r>
  </si>
  <si>
    <r>
      <t>Recommended Value of Cost per Vehicle Mile Traveled (2022 $)</t>
    </r>
    <r>
      <rPr>
        <vertAlign val="superscript"/>
        <sz val="11"/>
        <color theme="0"/>
        <rFont val="Times New Roman"/>
        <family val="1"/>
      </rPr>
      <t>1</t>
    </r>
  </si>
  <si>
    <r>
      <t>Non-CO</t>
    </r>
    <r>
      <rPr>
        <vertAlign val="subscript"/>
        <sz val="11"/>
        <color theme="0"/>
        <rFont val="Times New Roman"/>
        <family val="1"/>
      </rPr>
      <t>2</t>
    </r>
    <r>
      <rPr>
        <sz val="11"/>
        <color theme="0"/>
        <rFont val="Times New Roman"/>
        <family val="1"/>
      </rPr>
      <t xml:space="preserve"> Emission Cost</t>
    </r>
    <r>
      <rPr>
        <vertAlign val="superscript"/>
        <sz val="11"/>
        <color theme="0"/>
        <rFont val="Times New Roman"/>
        <family val="1"/>
      </rPr>
      <t>2</t>
    </r>
  </si>
  <si>
    <r>
      <t>CO</t>
    </r>
    <r>
      <rPr>
        <vertAlign val="subscript"/>
        <sz val="11"/>
        <color theme="0"/>
        <rFont val="Times New Roman"/>
        <family val="1"/>
      </rPr>
      <t>2</t>
    </r>
    <r>
      <rPr>
        <sz val="11"/>
        <color theme="0"/>
        <rFont val="Times New Roman"/>
        <family val="1"/>
      </rPr>
      <t xml:space="preserve"> Emission Cost</t>
    </r>
    <r>
      <rPr>
        <vertAlign val="superscript"/>
        <sz val="11"/>
        <color theme="0"/>
        <rFont val="Times New Roman"/>
        <family val="1"/>
      </rPr>
      <t>2</t>
    </r>
  </si>
  <si>
    <t>2)   Emission rates are based on estimates from EPA’s MOVES Model. The monetization applies the 2035-year emission value to approximate increasing emission damage costs over time. Non-CO2 emission damages should be discounted at 3.1 percent, while CO2 emission damages should be discounted at 2.0 percent.</t>
  </si>
  <si>
    <t>1)   Congestion costs updated from the 1997 Highway Cost Allocation Study to reflect increased traffic volumes, changes in vehicle occupancy, and increases in the value of time per person-hour since that time. Both congestion and noise costs are also adjusted from 1994 dollars to 2022 dollars using the GDP deflator.</t>
  </si>
  <si>
    <r>
      <t>No Build Non-CO</t>
    </r>
    <r>
      <rPr>
        <vertAlign val="subscript"/>
        <sz val="11"/>
        <color theme="0"/>
        <rFont val="Calibri"/>
        <family val="2"/>
        <scheme val="minor"/>
      </rPr>
      <t>2</t>
    </r>
    <r>
      <rPr>
        <sz val="11"/>
        <color theme="0"/>
        <rFont val="Calibri"/>
        <family val="2"/>
        <scheme val="minor"/>
      </rPr>
      <t xml:space="preserve"> Emission Costs ($)</t>
    </r>
  </si>
  <si>
    <r>
      <t>Build Non-CO</t>
    </r>
    <r>
      <rPr>
        <vertAlign val="subscript"/>
        <sz val="11"/>
        <color theme="0"/>
        <rFont val="Calibri"/>
        <family val="2"/>
        <scheme val="minor"/>
      </rPr>
      <t>2</t>
    </r>
    <r>
      <rPr>
        <sz val="11"/>
        <color theme="0"/>
        <rFont val="Calibri"/>
        <family val="2"/>
        <scheme val="minor"/>
      </rPr>
      <t xml:space="preserve"> Emission Costs ($)</t>
    </r>
  </si>
  <si>
    <r>
      <t>No Build CO</t>
    </r>
    <r>
      <rPr>
        <vertAlign val="subscript"/>
        <sz val="11"/>
        <color theme="0"/>
        <rFont val="Calibri"/>
        <family val="2"/>
        <scheme val="minor"/>
      </rPr>
      <t>2</t>
    </r>
    <r>
      <rPr>
        <sz val="11"/>
        <color theme="0"/>
        <rFont val="Calibri"/>
        <family val="2"/>
        <scheme val="minor"/>
      </rPr>
      <t xml:space="preserve"> Emission Costs ($)</t>
    </r>
  </si>
  <si>
    <r>
      <t>Build CO</t>
    </r>
    <r>
      <rPr>
        <vertAlign val="subscript"/>
        <sz val="11"/>
        <color theme="0"/>
        <rFont val="Calibri"/>
        <family val="2"/>
        <scheme val="minor"/>
      </rPr>
      <t>2</t>
    </r>
    <r>
      <rPr>
        <sz val="11"/>
        <color theme="0"/>
        <rFont val="Calibri"/>
        <family val="2"/>
        <scheme val="minor"/>
      </rPr>
      <t xml:space="preserve"> Emission Costs ($)</t>
    </r>
  </si>
  <si>
    <t>Table 2. Emissions</t>
  </si>
  <si>
    <r>
      <t>Non-CO</t>
    </r>
    <r>
      <rPr>
        <vertAlign val="subscript"/>
        <sz val="11"/>
        <color theme="1"/>
        <rFont val="Calibri"/>
        <family val="2"/>
        <scheme val="minor"/>
      </rPr>
      <t>2</t>
    </r>
    <r>
      <rPr>
        <sz val="11"/>
        <color theme="1"/>
        <rFont val="Calibri"/>
        <family val="2"/>
        <scheme val="minor"/>
      </rPr>
      <t xml:space="preserve"> Emissions</t>
    </r>
  </si>
  <si>
    <r>
      <t>CO</t>
    </r>
    <r>
      <rPr>
        <vertAlign val="subscript"/>
        <sz val="11"/>
        <color theme="1"/>
        <rFont val="Calibri"/>
        <family val="2"/>
        <scheme val="minor"/>
      </rPr>
      <t>2</t>
    </r>
    <r>
      <rPr>
        <sz val="11"/>
        <color theme="1"/>
        <rFont val="Calibri"/>
        <family val="2"/>
        <scheme val="minor"/>
      </rPr>
      <t xml:space="preserve"> Emissions</t>
    </r>
  </si>
  <si>
    <t>Table 1. Emission Costs per VMT and Train-Hour</t>
  </si>
  <si>
    <t>First Year of Project Development/Construction</t>
  </si>
  <si>
    <t xml:space="preserve">Unique to this sheet, applicants may either input monetized emissions in 2022 dollars OR enter the direct emission amounts in the table below, in which case they must be entered in the form of METRIC TONS. A metric ton is equal to 1.1023 short tons. </t>
  </si>
  <si>
    <t>Table 2. Residual Value</t>
  </si>
  <si>
    <t>Table 1. Useful Life</t>
  </si>
  <si>
    <t>Project Component</t>
  </si>
  <si>
    <t>[Text Describing Project Component]</t>
  </si>
  <si>
    <t>Useful Life (Years)</t>
  </si>
  <si>
    <t>Capital Cost (2022 $)</t>
  </si>
  <si>
    <t>Recommended Value per Induced Trip (2022 $)</t>
  </si>
  <si>
    <t>Monetized Value (2022 $)</t>
  </si>
  <si>
    <t>Hourly Value (2022 $)</t>
  </si>
  <si>
    <r>
      <t xml:space="preserve">• </t>
    </r>
    <r>
      <rPr>
        <b/>
        <sz val="11"/>
        <rFont val="Calibri"/>
        <family val="2"/>
        <scheme val="minor"/>
      </rPr>
      <t>Input, Optional, and No-Input cells.</t>
    </r>
  </si>
  <si>
    <r>
      <rPr>
        <b/>
        <sz val="11"/>
        <rFont val="Calibri"/>
        <family val="2"/>
        <scheme val="minor"/>
      </rPr>
      <t>•  Parameter Values.</t>
    </r>
    <r>
      <rPr>
        <sz val="11"/>
        <rFont val="Calibri"/>
        <family val="2"/>
        <scheme val="minor"/>
      </rPr>
      <t xml:space="preserve"> This template provides a copy of the Appendix A tables from the USDOT BCA guidance document in a spreadsheet format, located on the "Parameter Values" sheet. </t>
    </r>
  </si>
  <si>
    <t>Source: USDOT BCA Guidance (Appendix A)</t>
  </si>
  <si>
    <t>This sheet provides a copy of parameter and monetization values from Appendix A of the USDOT BCA Guidance, and is provided for convenience.</t>
  </si>
  <si>
    <t>User Volumes</t>
  </si>
  <si>
    <t>Users can use whichever units are of interest to their application (for example: number of users, average annual daily traffic, person miles traveled, vehicle miles traveled).</t>
  </si>
  <si>
    <t>Whether amounts are entered in dollar form OR direct units of emissions, the template will automatically apply discounting to all costs and benefits for you.</t>
  </si>
  <si>
    <t xml:space="preserve">To calculate overall residual value for the entire project automatically, simply enter a useful life in the first row of Table 1 below. </t>
  </si>
  <si>
    <t>Total Residual Value</t>
  </si>
  <si>
    <t>Overall Project if One Component</t>
  </si>
  <si>
    <t>If there are multiple distinct components with unique useful lives, use multiple rows as needed and override the formula and names in the input cells of Table 1 below.</t>
  </si>
  <si>
    <t>&lt;-For project development costs prior to the model base year, enter into the "Capital Cost" tab in the cell for previously incurred costs</t>
  </si>
  <si>
    <t>For projects that involve capacity expansion or represent purely operational improvements, no residual value should be assumed.</t>
  </si>
  <si>
    <t>To remove the residual value, please enter "0" in the blue cell below in lieu of the automatic calculation</t>
  </si>
  <si>
    <t>Applicants should use this sheet for general operations and maintenance, as well as any recapitalization costs that will be needed for project components over the course of the analysis period.</t>
  </si>
  <si>
    <t>To avoid double-counting of benefits, applicants should not enter the same emission data as BOTH a dollar value and as units of emissions.</t>
  </si>
  <si>
    <t>Unique to this sheet, the template will automatically apply the correct monetization values for units of emissions.</t>
  </si>
  <si>
    <t>USDOT Benefit-Cost Analysis Spreadsheet Template</t>
  </si>
  <si>
    <t>What is the USDOT Benefit-Cost Analysis Spreadsheet Template?</t>
  </si>
  <si>
    <t xml:space="preserve">The USDOT Benefit-Cost Analysis Spreadsheet Template is being offered as a resource to applicants to help them get started on their BCA. Applicants are NOT required to use this template, it is simply offered as a convenience. </t>
  </si>
  <si>
    <t>•	  Understanding of the project and the problem it is intended to solve.</t>
  </si>
  <si>
    <t>•	  The estimated costs of the project.</t>
  </si>
  <si>
    <t>•	  Information needed to estimate the benefits of the project (e.g., number users, baseline conditions, measures of effectiveness, expected service life).</t>
  </si>
  <si>
    <r>
      <t xml:space="preserve">      o Green, </t>
    </r>
    <r>
      <rPr>
        <b/>
        <sz val="11"/>
        <rFont val="Calibri"/>
        <family val="2"/>
        <scheme val="minor"/>
      </rPr>
      <t>bold</t>
    </r>
    <r>
      <rPr>
        <sz val="11"/>
        <rFont val="Calibri"/>
        <family val="2"/>
        <scheme val="minor"/>
      </rPr>
      <t xml:space="preserve">, and </t>
    </r>
    <r>
      <rPr>
        <u/>
        <sz val="11"/>
        <rFont val="Calibri"/>
        <family val="2"/>
        <scheme val="minor"/>
      </rPr>
      <t>underlined</t>
    </r>
    <r>
      <rPr>
        <sz val="11"/>
        <rFont val="Calibri"/>
        <family val="2"/>
        <scheme val="minor"/>
      </rPr>
      <t xml:space="preserve"> cells represent user input cells. These cells are available for input from the user.</t>
    </r>
  </si>
  <si>
    <r>
      <t xml:space="preserve">      o Blue and </t>
    </r>
    <r>
      <rPr>
        <i/>
        <sz val="11"/>
        <rFont val="Calibri"/>
        <family val="2"/>
        <scheme val="minor"/>
      </rPr>
      <t xml:space="preserve">italic </t>
    </r>
    <r>
      <rPr>
        <sz val="11"/>
        <rFont val="Calibri"/>
        <family val="2"/>
        <scheme val="minor"/>
      </rPr>
      <t>cells represent cells where the user may want to edit the formula depending on their project details</t>
    </r>
  </si>
  <si>
    <t xml:space="preserve">      o Gray and plain text cells represent a cell that does not require user input, and should not be edited.</t>
  </si>
  <si>
    <t>Model Date</t>
  </si>
  <si>
    <t>&lt;-See USDOT BCA Guidance for discussion of how to determine the appropriate operational period length</t>
  </si>
  <si>
    <t>This is an optional sheet to aid in displaying user volumes, note that it does not automatically link to any other sheet and is provided for convenience and organizational purposes.</t>
  </si>
  <si>
    <t>Cost in Constant Dollars (2022 $)</t>
  </si>
  <si>
    <t>Annual Inflation Rate Used to Convert Constant Dollars to Year-of-Expenditure Dollars</t>
  </si>
  <si>
    <t>Previously Incurred Costs (in 2022 $)</t>
  </si>
  <si>
    <t>Other Highway Use Externalities</t>
  </si>
  <si>
    <t>Undiscounted Total</t>
  </si>
  <si>
    <t>Table A-1b: Value of Reduced Fatal, Injury, and PDO Crashes</t>
  </si>
  <si>
    <t>To manually calculate the residual value, please enter your estimated value in the blue italicized cell below in lieu of the automatic calculation</t>
  </si>
  <si>
    <r>
      <t>Trucks (Miles Traveled)</t>
    </r>
    <r>
      <rPr>
        <b/>
        <vertAlign val="superscript"/>
        <sz val="11"/>
        <color theme="0"/>
        <rFont val="Calibri"/>
        <family val="2"/>
        <scheme val="minor"/>
      </rPr>
      <t>1</t>
    </r>
  </si>
  <si>
    <t xml:space="preserve">Notes: </t>
  </si>
  <si>
    <t>Daily Production</t>
  </si>
  <si>
    <t>Quantity</t>
  </si>
  <si>
    <t>Unit of Measure</t>
  </si>
  <si>
    <t>Material Costs</t>
  </si>
  <si>
    <t>Labor Cost</t>
  </si>
  <si>
    <t>Equipment Cost</t>
  </si>
  <si>
    <t>Total Cost</t>
  </si>
  <si>
    <t>LF</t>
  </si>
  <si>
    <t>Rail Transpose</t>
  </si>
  <si>
    <t>Ballast Program</t>
  </si>
  <si>
    <t>MT</t>
  </si>
  <si>
    <t>Surfacing Program</t>
  </si>
  <si>
    <t>TF</t>
  </si>
  <si>
    <t>Tie Program</t>
  </si>
  <si>
    <t>EA</t>
  </si>
  <si>
    <t>Turnouts</t>
  </si>
  <si>
    <t>Crossings/HBD/AEI</t>
  </si>
  <si>
    <t>LS</t>
  </si>
  <si>
    <t>Grand Total</t>
  </si>
  <si>
    <t>COST BREAKDOWNS</t>
  </si>
  <si>
    <t>1)  Values for personal travel based on local travel values as described in USDOT’s Value of Travel Time guidance. Where applicants also have specific information on the mix of local versus long-distance travel (i.e., trips over 50 miles in length) on a facility, then the local travel values of time may be blended with the long-distance personal travel value of $30.10 per hour.</t>
  </si>
  <si>
    <t>Cars</t>
  </si>
  <si>
    <t>Unit</t>
  </si>
  <si>
    <t>Source</t>
  </si>
  <si>
    <t>Noise reduction (jointed to continuous welded rail)</t>
  </si>
  <si>
    <t>dba</t>
  </si>
  <si>
    <t>Hanson, Carl E.; Towers, David A.; and Meister, Lance D., "Transit noise and vibration impact assessment." Federal TransitAdministration (FTA), 2006. www.transit.dot.gov/sites/fta.dot.gov/files/docs/FTA_Noise_and_Vibration_Manual.pdf.</t>
  </si>
  <si>
    <t>Parameter</t>
  </si>
  <si>
    <r>
      <t>Kay Neufeld, "Freight railroads police themselves and inspect their own tracks. Some say a disaster is inevitable,"</t>
    </r>
    <r>
      <rPr>
        <i/>
        <sz val="11"/>
        <color theme="1"/>
        <rFont val="Times New Roman"/>
        <family val="1"/>
      </rPr>
      <t xml:space="preserve"> </t>
    </r>
    <r>
      <rPr>
        <i/>
        <sz val="11"/>
        <color theme="4" tint="-0.249977111117893"/>
        <rFont val="Times New Roman"/>
        <family val="1"/>
      </rPr>
      <t>Portland Press Herald</t>
    </r>
    <r>
      <rPr>
        <sz val="11"/>
        <color theme="4" tint="-0.249977111117893"/>
        <rFont val="Times New Roman"/>
        <family val="1"/>
      </rPr>
      <t>, October 8, 2023. www.pressherald.com/2023/10/08/freight-railroads-police-themselves-and-inspect-their-own-tracks-some-say-a-disaster-is-inevitable/#:~:text=In%202022%2C%20137%2C194%20train%20cars,average%20length%20was%20157%20cars.</t>
    </r>
  </si>
  <si>
    <t>1. Based on truck-to-rail conversion factor of 3 truckloads to one train car load x 81 miles average distance trucks travel from nearest supplier to distribution / destination for propane delivery (roundtrip).</t>
  </si>
  <si>
    <t>Katahdin Salmon</t>
  </si>
  <si>
    <t>Chips</t>
  </si>
  <si>
    <t>Carbon</t>
  </si>
  <si>
    <t>Fuel</t>
  </si>
  <si>
    <t>Feed</t>
  </si>
  <si>
    <t>Weekly (Cars)</t>
  </si>
  <si>
    <t>Daily (30-car trains)</t>
  </si>
  <si>
    <t>Inbound</t>
  </si>
  <si>
    <t>Outbound</t>
  </si>
  <si>
    <t>Totals</t>
  </si>
  <si>
    <t>Annual Trains</t>
  </si>
  <si>
    <t>Castlerock  
Phase I</t>
  </si>
  <si>
    <t>Castlerock  
Phase II</t>
  </si>
  <si>
    <t>Highland at Initial Scale</t>
  </si>
  <si>
    <t>2. Based on truck-to-rail conversion factor of 3 truckloads to one train car load; 30-car trains; 145 miles of EMR track in Project area; 81 miles to Searsport</t>
  </si>
  <si>
    <t>Average Distance</t>
  </si>
  <si>
    <t>Annual Train Travel Time hrs
(Build)</t>
  </si>
  <si>
    <t>Annual Train Travel Time, hrs
(No-Build)</t>
  </si>
  <si>
    <t>Notes:</t>
  </si>
  <si>
    <t>(2) In No-Build, trains wait at Kirby siding for three hours; due to Build speed increases this conflict and the associated idling time does not occur.</t>
  </si>
  <si>
    <r>
      <t>Idle Time, hrs
(No-Build)</t>
    </r>
    <r>
      <rPr>
        <b/>
        <vertAlign val="superscript"/>
        <sz val="11"/>
        <color theme="1"/>
        <rFont val="Calibri"/>
        <family val="2"/>
        <scheme val="minor"/>
      </rPr>
      <t>2</t>
    </r>
  </si>
  <si>
    <r>
      <t>Idle Time, hrs
(Build)</t>
    </r>
    <r>
      <rPr>
        <b/>
        <vertAlign val="superscript"/>
        <sz val="11"/>
        <color theme="1"/>
        <rFont val="Calibri"/>
        <family val="2"/>
        <scheme val="minor"/>
      </rPr>
      <t>2</t>
    </r>
  </si>
  <si>
    <t>Highland at Full Scale (1)</t>
  </si>
  <si>
    <t>(1) This development will scale to full capacity by mid-2029)</t>
  </si>
  <si>
    <r>
      <t>Rail Travel Time Benefit Calculations (</t>
    </r>
    <r>
      <rPr>
        <b/>
        <sz val="11"/>
        <color rgb="FFC00000"/>
        <rFont val="Calibri"/>
        <family val="2"/>
        <scheme val="minor"/>
      </rPr>
      <t>2030 forward</t>
    </r>
    <r>
      <rPr>
        <b/>
        <sz val="11"/>
        <color theme="1"/>
        <rFont val="Calibri"/>
        <family val="2"/>
        <scheme val="minor"/>
      </rPr>
      <t>)</t>
    </r>
  </si>
  <si>
    <r>
      <t>Rail Travel Time Benefit Calculations (</t>
    </r>
    <r>
      <rPr>
        <b/>
        <sz val="11"/>
        <color rgb="FFC00000"/>
        <rFont val="Calibri"/>
        <family val="2"/>
        <scheme val="minor"/>
      </rPr>
      <t>2028-2029</t>
    </r>
    <r>
      <rPr>
        <b/>
        <sz val="11"/>
        <color theme="1"/>
        <rFont val="Calibri"/>
        <family val="2"/>
        <scheme val="minor"/>
      </rPr>
      <t>)</t>
    </r>
  </si>
  <si>
    <t>`</t>
  </si>
  <si>
    <t>miles</t>
  </si>
  <si>
    <t>Calculated (GIS)</t>
  </si>
  <si>
    <r>
      <t>Idle Time, hrs
(All Scenarios)</t>
    </r>
    <r>
      <rPr>
        <b/>
        <vertAlign val="superscript"/>
        <sz val="11"/>
        <color theme="1"/>
        <rFont val="Calibri"/>
        <family val="2"/>
        <scheme val="minor"/>
      </rPr>
      <t>2</t>
    </r>
  </si>
  <si>
    <t>Annual Train Travel Time, hrs
(All Scenarios)</t>
  </si>
  <si>
    <t>No Build Freight Train Operating Costs</t>
  </si>
  <si>
    <t>Build Freight Train Operating Costs</t>
  </si>
  <si>
    <t>Freight Train Operating Cost Savings</t>
  </si>
  <si>
    <t>Additional Parameters and Sources Provided by Applicant with Sources</t>
  </si>
  <si>
    <t>Typical Length of Freight Train (Maine)</t>
  </si>
  <si>
    <t xml:space="preserve">Annual Miles Traveled </t>
  </si>
  <si>
    <t>PDO Crash Probability/year
(Build)</t>
  </si>
  <si>
    <t>PDO Crash Probability/year
(No-Build)</t>
  </si>
  <si>
    <t>Derailment</t>
  </si>
  <si>
    <t>Fire/violent rupture</t>
  </si>
  <si>
    <t>Hwy-rail crossing</t>
  </si>
  <si>
    <t>Obstruction</t>
  </si>
  <si>
    <t>Other</t>
  </si>
  <si>
    <t>Side collision</t>
  </si>
  <si>
    <t>Freight Rail Miles, Maine</t>
  </si>
  <si>
    <t>AAR</t>
  </si>
  <si>
    <t>FRA</t>
  </si>
  <si>
    <t>ArcPro</t>
  </si>
  <si>
    <t>EMR/Maine Miles</t>
  </si>
  <si>
    <t>Expected Project Derailments/Year</t>
  </si>
  <si>
    <t>Der./Year x Pct EMR Track</t>
  </si>
  <si>
    <t>Maine Derailments/Year</t>
  </si>
  <si>
    <t>Percent Project Track to Maine Track</t>
  </si>
  <si>
    <t>SOURCE DATA (FRA DATABASE)</t>
  </si>
  <si>
    <t>ESTIMATED DERAILMENTS / YEAR CALCULATION</t>
  </si>
  <si>
    <r>
      <t>FRA</t>
    </r>
    <r>
      <rPr>
        <i/>
        <sz val="11"/>
        <color theme="1"/>
        <rFont val="Calibri"/>
        <family val="2"/>
        <scheme val="minor"/>
      </rPr>
      <t xml:space="preserve"> (see table at left)</t>
    </r>
  </si>
  <si>
    <t>TOTAL</t>
  </si>
  <si>
    <t>Expected Derailment Avoidance</t>
  </si>
  <si>
    <t>Average Cost/Crash</t>
  </si>
  <si>
    <t>Annual Safety Cost, No-Build</t>
  </si>
  <si>
    <t>Expect. Derailments/Year x Cost/Crash</t>
  </si>
  <si>
    <t>Expect. Derailments/Year x Crash Reduction Factor x Cost/Crash</t>
  </si>
  <si>
    <t>Crash Reduction Factor expected from CWR, Tie/Ballast/Steel Replacement in Build case</t>
  </si>
  <si>
    <t>Annual Safety Cost, Build (post-2029)</t>
  </si>
  <si>
    <t>trains</t>
  </si>
  <si>
    <t>Length of Millinocket Mainline</t>
  </si>
  <si>
    <t>Length of Mattawamkeag Mainline</t>
  </si>
  <si>
    <t>Existing trains/day on Millinocket Mainline</t>
  </si>
  <si>
    <t>Existing trains/day on Mattawamkeag Mainline</t>
  </si>
  <si>
    <t>New Annual Trains</t>
  </si>
  <si>
    <t>(3) Source data for Derailments:</t>
  </si>
  <si>
    <t>Mainline</t>
  </si>
  <si>
    <t>Millinocket</t>
  </si>
  <si>
    <t>Mattawamkeag</t>
  </si>
  <si>
    <t>Existing Annual Trains
(All Scenarios)</t>
  </si>
  <si>
    <t>Existing Annual Train Travel Time, hrs
(Build)</t>
  </si>
  <si>
    <t>Existing Annual Train Travel Time, hrs
(No-Build)</t>
  </si>
  <si>
    <t>New annual numbers based on committed new One North customers</t>
  </si>
  <si>
    <t>Background freight train volumes (existing), 2028-2029</t>
  </si>
  <si>
    <t>Background freight train volumes (existing), 2030 forward</t>
  </si>
  <si>
    <t>Total Miles of Project Track</t>
  </si>
  <si>
    <t>NOTE: Noise costs benefits for rail are NOT added to the benefit stream per FRA guidance (Benefit-Cost Analysis Guidance for Rail Projects, Federal Railroad Administration, U.S. Department of Transportation, June 2016)</t>
  </si>
  <si>
    <t>Avoided Highway Externality</t>
  </si>
  <si>
    <r>
      <t>Existing Annual Train Idle Time, hrs
(Build)</t>
    </r>
    <r>
      <rPr>
        <b/>
        <vertAlign val="superscript"/>
        <sz val="11"/>
        <color theme="2" tint="-0.499984740745262"/>
        <rFont val="Calibri"/>
        <family val="2"/>
        <scheme val="minor"/>
      </rPr>
      <t>2</t>
    </r>
  </si>
  <si>
    <r>
      <t>Existing Annual Train Idle Time, hrs
(No-Build)</t>
    </r>
    <r>
      <rPr>
        <b/>
        <vertAlign val="superscript"/>
        <sz val="11"/>
        <color theme="2" tint="-0.499984740745262"/>
        <rFont val="Calibri"/>
        <family val="2"/>
        <scheme val="minor"/>
      </rPr>
      <t>2</t>
    </r>
  </si>
  <si>
    <t>Estimate</t>
  </si>
  <si>
    <t>Payback Period (Years)</t>
  </si>
  <si>
    <t>Payback Period Calculations</t>
  </si>
  <si>
    <t>Benefits Summary</t>
  </si>
  <si>
    <r>
      <t>PDO Crashes/year
(All Scenarios)</t>
    </r>
    <r>
      <rPr>
        <b/>
        <vertAlign val="superscript"/>
        <sz val="11"/>
        <color theme="1"/>
        <rFont val="Calibri"/>
        <family val="2"/>
        <scheme val="minor"/>
      </rPr>
      <t>3</t>
    </r>
  </si>
  <si>
    <t>Maine Rail Incidents, by Type, 2014-2023 (10 years)</t>
  </si>
  <si>
    <t>Crashes Averted (25 yrs)</t>
  </si>
  <si>
    <t>Crashes No-Build (25 yrs)</t>
  </si>
  <si>
    <t>Crashes Build (25 yrs)</t>
  </si>
  <si>
    <t>Value of Greenhouse Gases Removed:</t>
  </si>
  <si>
    <t>Hours of Travel Time Saved:</t>
  </si>
  <si>
    <t>Project Lifetime Benefits</t>
  </si>
  <si>
    <t>0-10 Years</t>
  </si>
  <si>
    <t>10-20 Years</t>
  </si>
  <si>
    <t>20-30 Years</t>
  </si>
  <si>
    <t>Program</t>
  </si>
  <si>
    <t>Qty</t>
  </si>
  <si>
    <t>Cost</t>
  </si>
  <si>
    <t>Ties</t>
  </si>
  <si>
    <t>Ballast</t>
  </si>
  <si>
    <t>Rail Equipment</t>
  </si>
  <si>
    <t>Tie Equipment</t>
  </si>
  <si>
    <t>Rail Labour</t>
  </si>
  <si>
    <t>Tie Labour</t>
  </si>
  <si>
    <t>20-25 Years (1/2)</t>
  </si>
  <si>
    <t>Derailment Crashes Avoided:</t>
  </si>
  <si>
    <t>New annual numbers based on committed new One North customers on Millinocket Line</t>
  </si>
  <si>
    <r>
      <t>New Trains (Miles Traveled)</t>
    </r>
    <r>
      <rPr>
        <b/>
        <vertAlign val="superscript"/>
        <sz val="11"/>
        <color theme="0"/>
        <rFont val="Calibri"/>
        <family val="2"/>
        <scheme val="minor"/>
      </rPr>
      <t>2</t>
    </r>
  </si>
  <si>
    <r>
      <t>Existing Trains (Miles Traveled)</t>
    </r>
    <r>
      <rPr>
        <b/>
        <vertAlign val="superscript"/>
        <sz val="11"/>
        <color theme="0"/>
        <rFont val="Calibri"/>
        <family val="2"/>
        <scheme val="minor"/>
      </rPr>
      <t>2</t>
    </r>
  </si>
  <si>
    <t>Background freight train volumes (existing)</t>
  </si>
  <si>
    <t>SUMMARY OF BENEFITS</t>
  </si>
  <si>
    <t>SENSITIVITY TESTING</t>
  </si>
  <si>
    <t>If the input changes by 1%, then the BCR changes by…</t>
  </si>
  <si>
    <t>Input Variable Worsens by 1%</t>
  </si>
  <si>
    <t>BCR Change</t>
  </si>
  <si>
    <t>New BCR</t>
  </si>
  <si>
    <t>BCR</t>
  </si>
  <si>
    <t>Train Speed mph
(All Scenarios)</t>
  </si>
  <si>
    <t>Train Speed mph
(No-Build)</t>
  </si>
  <si>
    <t>Train Speed, mph
(Build)</t>
  </si>
  <si>
    <t>Project Major Task</t>
  </si>
  <si>
    <t>Work Task</t>
  </si>
  <si>
    <t>Task 4. Millinocket Sub</t>
  </si>
  <si>
    <t>Task 5. Mattawamkeag Sub</t>
  </si>
  <si>
    <t>Project Total</t>
  </si>
  <si>
    <t>CONTINGENCY (5% of Project, 80%FRA+20%EMR)</t>
  </si>
  <si>
    <r>
      <t xml:space="preserve">Project Cost Increase </t>
    </r>
    <r>
      <rPr>
        <sz val="10"/>
        <color theme="1" tint="0.499984740745262"/>
        <rFont val="Wingdings"/>
        <charset val="2"/>
      </rPr>
      <t>é</t>
    </r>
  </si>
  <si>
    <r>
      <t xml:space="preserve">Higher O&amp;M Cost (Build) </t>
    </r>
    <r>
      <rPr>
        <sz val="10"/>
        <color theme="1" tint="0.499984740745262"/>
        <rFont val="Wingdings"/>
        <charset val="2"/>
      </rPr>
      <t>é</t>
    </r>
  </si>
  <si>
    <r>
      <t xml:space="preserve">Lower Crash Rate Reduction (Build) </t>
    </r>
    <r>
      <rPr>
        <sz val="10"/>
        <color theme="1" tint="0.499984740745262"/>
        <rFont val="Wingdings"/>
        <charset val="2"/>
      </rPr>
      <t>ê</t>
    </r>
  </si>
  <si>
    <r>
      <t xml:space="preserve">Lower Rail Travel Speed (Build) Emissions ONLY </t>
    </r>
    <r>
      <rPr>
        <sz val="10"/>
        <color theme="1" tint="0.499984740745262"/>
        <rFont val="Wingdings"/>
        <charset val="2"/>
      </rPr>
      <t>ê</t>
    </r>
  </si>
  <si>
    <r>
      <t xml:space="preserve">Less New Freight Rail Trains (Build) Emissions ONLY </t>
    </r>
    <r>
      <rPr>
        <sz val="10"/>
        <color theme="1" tint="0.499984740745262"/>
        <rFont val="Wingdings"/>
        <charset val="2"/>
      </rPr>
      <t>ê</t>
    </r>
  </si>
  <si>
    <t>CWR Contractor</t>
  </si>
  <si>
    <t>Task 1:  Project Administration and Management</t>
  </si>
  <si>
    <t>Task 2:  Rehabilitate Track from EMR to One North</t>
  </si>
  <si>
    <t>Task 3:  Rehabilitate One North Customer Sidings</t>
  </si>
  <si>
    <t>Rail Program (Upgrade 100lb-115lb)</t>
  </si>
  <si>
    <t>Total by Major Project Task</t>
  </si>
  <si>
    <t>Match: FRA</t>
  </si>
  <si>
    <t>Match: EMR</t>
  </si>
  <si>
    <t>Match: ON</t>
  </si>
  <si>
    <t>Non-Federal</t>
  </si>
  <si>
    <t xml:space="preserve">Task 1: Project Administration and Management </t>
  </si>
  <si>
    <t>Task 2: Rehabilitate Track from Eastern Maine Railway’s Millinocket Railyard to End of One North Spur</t>
  </si>
  <si>
    <t>Task 3: Rehabilitate Customer Sidings on One North Spur</t>
  </si>
  <si>
    <t>Task 4: Upgrades to Eastern Maine Railway’s Millinocket Subdivision</t>
  </si>
  <si>
    <t>Task 5: Upgrades to Eastern Maine Railway’s Mattawamkeag Subdivision</t>
  </si>
  <si>
    <t>Contingency (5% of Project Cost)</t>
  </si>
  <si>
    <t>TOTALS</t>
  </si>
  <si>
    <t>Millinocket No-Build</t>
  </si>
  <si>
    <t>Mattawamkeag Build</t>
  </si>
  <si>
    <t>Millinocket Build/Mattawamkeag No-Build</t>
  </si>
  <si>
    <t>(3) Train Speeds (mph) for various configurations:</t>
  </si>
  <si>
    <t>(2) In No-Build, trains wait at Kirby siding for three hours; due to Build speed increases this conflict and the associated idling time does not occur. Annualized idling assumed at 5 hours (No-Build); 2 hours (Build).</t>
  </si>
  <si>
    <r>
      <t xml:space="preserve">Annual Maintenance </t>
    </r>
    <r>
      <rPr>
        <b/>
        <i/>
        <sz val="11"/>
        <color theme="1"/>
        <rFont val="Calibri"/>
        <family val="2"/>
        <scheme val="minor"/>
      </rPr>
      <t>(source: EMR)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</si>
</sst>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quot;$&quot;#,##0.00"/>
    <numFmt numFmtId="165" formatCode="&quot;$&quot;#,##0"/>
    <numFmt numFmtId="166" formatCode="&quot;$&quot;#,##0.0000"/>
    <numFmt numFmtId="167" formatCode="&quot;$&quot;#,##0.000_);[Red]\(&quot;$&quot;#,##0.000\)"/>
    <numFmt numFmtId="168" formatCode="&quot;$&quot;#,##0.0000_);[Red]\(&quot;$&quot;#,##0.0000\)"/>
    <numFmt numFmtId="169" formatCode="&quot;$&quot;#,##0.000"/>
    <numFmt numFmtId="170" formatCode="_(&quot;$&quot;* #,##0_);_(&quot;$&quot;* \(#,##0\);_(&quot;$&quot;* &quot;-&quot;??_);_(@_)"/>
    <numFmt numFmtId="171" formatCode="0.0%"/>
    <numFmt numFmtId="172" formatCode="0.0"/>
    <numFmt numFmtId="173" formatCode="_(* #,##0_);_(* \(#,##0\);_(* &quot;-&quot;??_);_(@_)"/>
    <numFmt numFmtId="174" formatCode="&quot;$&quot;#,##0.0_);[Red]\(&quot;$&quot;#,##0.0\)"/>
    <numFmt numFmtId="175" formatCode="&quot;$&quot;#,##0.0"/>
  </numFmts>
  <fonts count="66" x14ac:knownFonts="1">
    <font>
      <sz val="11"/>
      <color theme="1"/>
      <name val="Calibri"/>
      <family val="2"/>
      <scheme val="minor"/>
    </font>
    <font>
      <u/>
      <sz val="11"/>
      <color theme="10"/>
      <name val="Calibri"/>
      <family val="2"/>
      <scheme val="minor"/>
    </font>
    <font>
      <sz val="11"/>
      <color rgb="FF1F497D"/>
      <name val="Times New Roman"/>
      <family val="1"/>
    </font>
    <font>
      <vertAlign val="superscript"/>
      <sz val="11"/>
      <color rgb="FF1F497D"/>
      <name val="Times New Roman"/>
      <family val="1"/>
    </font>
    <font>
      <vertAlign val="superscript"/>
      <sz val="11"/>
      <color theme="1"/>
      <name val="Calibri"/>
      <family val="2"/>
      <scheme val="minor"/>
    </font>
    <font>
      <b/>
      <i/>
      <sz val="11"/>
      <color theme="8" tint="-0.249977111117893"/>
      <name val="Times New Roman"/>
      <family val="1"/>
    </font>
    <font>
      <sz val="11"/>
      <color theme="1"/>
      <name val="Times New Roman"/>
      <family val="1"/>
    </font>
    <font>
      <vertAlign val="superscript"/>
      <sz val="11"/>
      <color theme="1"/>
      <name val="Times New Roman"/>
      <family val="1"/>
    </font>
    <font>
      <vertAlign val="subscript"/>
      <sz val="11"/>
      <color rgb="FF1F497D"/>
      <name val="Times New Roman"/>
      <family val="1"/>
    </font>
    <font>
      <b/>
      <u/>
      <sz val="11"/>
      <color theme="1"/>
      <name val="Calibri"/>
      <family val="2"/>
      <scheme val="minor"/>
    </font>
    <font>
      <i/>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b/>
      <sz val="11"/>
      <color theme="0"/>
      <name val="Calibri"/>
      <family val="2"/>
      <scheme val="minor"/>
    </font>
    <font>
      <sz val="11"/>
      <color theme="0"/>
      <name val="Calibri"/>
      <family val="2"/>
      <scheme val="minor"/>
    </font>
    <font>
      <b/>
      <sz val="15"/>
      <name val="Calibri"/>
      <family val="2"/>
      <scheme val="minor"/>
    </font>
    <font>
      <sz val="12"/>
      <color theme="1"/>
      <name val="Calibri"/>
      <family val="2"/>
      <scheme val="minor"/>
    </font>
    <font>
      <sz val="11"/>
      <name val="Calibri"/>
      <family val="2"/>
      <scheme val="minor"/>
    </font>
    <font>
      <b/>
      <sz val="11"/>
      <name val="Calibri"/>
      <family val="2"/>
      <scheme val="minor"/>
    </font>
    <font>
      <b/>
      <sz val="16"/>
      <color theme="0"/>
      <name val="Calibri"/>
      <family val="2"/>
      <scheme val="minor"/>
    </font>
    <font>
      <b/>
      <sz val="11"/>
      <color theme="0"/>
      <name val="Times New Roman"/>
      <family val="1"/>
    </font>
    <font>
      <sz val="11"/>
      <color theme="0"/>
      <name val="Times New Roman"/>
      <family val="1"/>
    </font>
    <font>
      <vertAlign val="superscript"/>
      <sz val="11"/>
      <color theme="0"/>
      <name val="Times New Roman"/>
      <family val="1"/>
    </font>
    <font>
      <vertAlign val="superscript"/>
      <sz val="11"/>
      <color theme="0"/>
      <name val="Calibri"/>
      <family val="2"/>
      <scheme val="minor"/>
    </font>
    <font>
      <vertAlign val="subscript"/>
      <sz val="11"/>
      <color theme="0"/>
      <name val="Times New Roman"/>
      <family val="1"/>
    </font>
    <font>
      <sz val="14"/>
      <name val="Calibri"/>
      <family val="2"/>
      <scheme val="minor"/>
    </font>
    <font>
      <vertAlign val="subscript"/>
      <sz val="11"/>
      <color theme="0"/>
      <name val="Calibri"/>
      <family val="2"/>
      <scheme val="minor"/>
    </font>
    <font>
      <vertAlign val="subscript"/>
      <sz val="11"/>
      <color theme="1"/>
      <name val="Calibri"/>
      <family val="2"/>
      <scheme val="minor"/>
    </font>
    <font>
      <u/>
      <sz val="11"/>
      <name val="Calibri"/>
      <family val="2"/>
      <scheme val="minor"/>
    </font>
    <font>
      <i/>
      <sz val="11"/>
      <name val="Calibri"/>
      <family val="2"/>
      <scheme val="minor"/>
    </font>
    <font>
      <sz val="12"/>
      <color indexed="8"/>
      <name val="Verdana"/>
      <family val="2"/>
    </font>
    <font>
      <sz val="11"/>
      <color rgb="FFFF0000"/>
      <name val="Calibri"/>
      <family val="2"/>
      <scheme val="minor"/>
    </font>
    <font>
      <b/>
      <sz val="11"/>
      <color theme="1"/>
      <name val="Calibri"/>
      <family val="2"/>
      <scheme val="minor"/>
    </font>
    <font>
      <b/>
      <vertAlign val="superscript"/>
      <sz val="11"/>
      <color theme="0"/>
      <name val="Calibri"/>
      <family val="2"/>
      <scheme val="minor"/>
    </font>
    <font>
      <b/>
      <sz val="11"/>
      <color rgb="FFFF0000"/>
      <name val="Calibri"/>
      <family val="2"/>
      <scheme val="minor"/>
    </font>
    <font>
      <sz val="11"/>
      <color theme="3"/>
      <name val="Calibri"/>
      <family val="2"/>
      <scheme val="minor"/>
    </font>
    <font>
      <sz val="9"/>
      <color theme="3"/>
      <name val="Calibri"/>
      <family val="2"/>
      <scheme val="minor"/>
    </font>
    <font>
      <sz val="11"/>
      <color theme="2"/>
      <name val="Calibri"/>
      <family val="2"/>
      <scheme val="minor"/>
    </font>
    <font>
      <sz val="11"/>
      <color rgb="FFFF0000"/>
      <name val="Times New Roman"/>
      <family val="1"/>
    </font>
    <font>
      <b/>
      <i/>
      <sz val="11"/>
      <color theme="1"/>
      <name val="Calibri"/>
      <family val="2"/>
      <scheme val="minor"/>
    </font>
    <font>
      <i/>
      <sz val="11"/>
      <color theme="1"/>
      <name val="Times New Roman"/>
      <family val="1"/>
    </font>
    <font>
      <i/>
      <sz val="11"/>
      <color theme="4" tint="-0.249977111117893"/>
      <name val="Times New Roman"/>
      <family val="1"/>
    </font>
    <font>
      <sz val="11"/>
      <color theme="4" tint="-0.249977111117893"/>
      <name val="Times New Roman"/>
      <family val="1"/>
    </font>
    <font>
      <b/>
      <sz val="11"/>
      <color rgb="FFC00000"/>
      <name val="Calibri"/>
      <family val="2"/>
      <scheme val="minor"/>
    </font>
    <font>
      <b/>
      <vertAlign val="superscript"/>
      <sz val="11"/>
      <color theme="1"/>
      <name val="Calibri"/>
      <family val="2"/>
      <scheme val="minor"/>
    </font>
    <font>
      <sz val="11"/>
      <color rgb="FFC00000"/>
      <name val="Calibri"/>
      <family val="2"/>
      <scheme val="minor"/>
    </font>
    <font>
      <i/>
      <sz val="10"/>
      <color rgb="FFC00000"/>
      <name val="Calibri"/>
      <family val="2"/>
      <scheme val="minor"/>
    </font>
    <font>
      <b/>
      <sz val="11"/>
      <color theme="2" tint="-0.499984740745262"/>
      <name val="Calibri"/>
      <family val="2"/>
      <scheme val="minor"/>
    </font>
    <font>
      <sz val="11"/>
      <color theme="2" tint="-0.499984740745262"/>
      <name val="Calibri"/>
      <family val="2"/>
      <scheme val="minor"/>
    </font>
    <font>
      <b/>
      <i/>
      <sz val="11"/>
      <color theme="2" tint="-0.499984740745262"/>
      <name val="Calibri"/>
      <family val="2"/>
      <scheme val="minor"/>
    </font>
    <font>
      <b/>
      <vertAlign val="superscript"/>
      <sz val="11"/>
      <color theme="2" tint="-0.499984740745262"/>
      <name val="Calibri"/>
      <family val="2"/>
      <scheme val="minor"/>
    </font>
    <font>
      <sz val="14"/>
      <color theme="1" tint="0.249977111117893"/>
      <name val="Aptos"/>
      <family val="2"/>
    </font>
    <font>
      <sz val="11"/>
      <color theme="1" tint="0.249977111117893"/>
      <name val="Aptos"/>
      <family val="2"/>
    </font>
    <font>
      <i/>
      <sz val="10"/>
      <color theme="1"/>
      <name val="Calibri"/>
      <family val="2"/>
      <scheme val="minor"/>
    </font>
    <font>
      <b/>
      <sz val="14"/>
      <color theme="1"/>
      <name val="Aptos"/>
      <family val="2"/>
    </font>
    <font>
      <sz val="11"/>
      <color rgb="FF1F497D"/>
      <name val="Aptos"/>
      <family val="2"/>
    </font>
    <font>
      <sz val="11"/>
      <color theme="1"/>
      <name val="Aptos"/>
      <family val="2"/>
    </font>
    <font>
      <sz val="20"/>
      <color theme="1"/>
      <name val="Aptos"/>
      <family val="2"/>
    </font>
    <font>
      <b/>
      <sz val="11"/>
      <color theme="0"/>
      <name val="Aptos"/>
      <family val="2"/>
    </font>
    <font>
      <b/>
      <sz val="11"/>
      <color theme="0"/>
      <name val="Aptos Black"/>
      <family val="2"/>
    </font>
    <font>
      <i/>
      <sz val="11"/>
      <color theme="1"/>
      <name val="Aptos"/>
      <family val="2"/>
    </font>
    <font>
      <b/>
      <sz val="11"/>
      <color theme="1"/>
      <name val="Aptos"/>
      <family val="2"/>
    </font>
    <font>
      <sz val="11"/>
      <color theme="0"/>
      <name val="Aptos"/>
      <family val="2"/>
    </font>
    <font>
      <sz val="10"/>
      <color theme="1" tint="0.499984740745262"/>
      <name val="Wingdings"/>
      <charset val="2"/>
    </font>
  </fonts>
  <fills count="18">
    <fill>
      <patternFill patternType="none"/>
    </fill>
    <fill>
      <patternFill patternType="gray125"/>
    </fill>
    <fill>
      <patternFill patternType="solid">
        <fgColor theme="9" tint="0.39997558519241921"/>
        <bgColor indexed="64"/>
      </patternFill>
    </fill>
    <fill>
      <patternFill patternType="solid">
        <fgColor theme="0" tint="-0.249977111117893"/>
        <bgColor indexed="64"/>
      </patternFill>
    </fill>
    <fill>
      <patternFill patternType="solid">
        <fgColor theme="0"/>
        <bgColor indexed="64"/>
      </patternFill>
    </fill>
    <fill>
      <patternFill patternType="solid">
        <fgColor rgb="FFA9D08E"/>
        <bgColor indexed="64"/>
      </patternFill>
    </fill>
    <fill>
      <patternFill patternType="solid">
        <fgColor theme="0" tint="-4.9989318521683403E-2"/>
        <bgColor indexed="64"/>
      </patternFill>
    </fill>
    <fill>
      <patternFill patternType="solid">
        <fgColor theme="1"/>
        <bgColor indexed="64"/>
      </patternFill>
    </fill>
    <fill>
      <patternFill patternType="solid">
        <fgColor theme="4"/>
        <bgColor theme="4"/>
      </patternFill>
    </fill>
    <fill>
      <patternFill patternType="solid">
        <fgColor theme="4"/>
        <bgColor indexed="64"/>
      </patternFill>
    </fill>
    <fill>
      <patternFill patternType="solid">
        <fgColor theme="1"/>
        <bgColor theme="1"/>
      </patternFill>
    </fill>
    <fill>
      <patternFill patternType="solid">
        <fgColor theme="1" tint="0.34998626667073579"/>
        <bgColor indexed="64"/>
      </patternFill>
    </fill>
    <fill>
      <patternFill patternType="solid">
        <fgColor theme="0" tint="-0.14999847407452621"/>
        <bgColor indexed="64"/>
      </patternFill>
    </fill>
    <fill>
      <patternFill patternType="solid">
        <fgColor rgb="FFFFFFCC"/>
      </patternFill>
    </fill>
    <fill>
      <patternFill patternType="solid">
        <fgColor theme="8" tint="0.39997558519241921"/>
        <bgColor indexed="64"/>
      </patternFill>
    </fill>
    <fill>
      <patternFill patternType="solid">
        <fgColor theme="2" tint="-9.9948118533890809E-2"/>
        <bgColor indexed="64"/>
      </patternFill>
    </fill>
    <fill>
      <patternFill patternType="solid">
        <fgColor rgb="FF1F497D"/>
        <bgColor indexed="64"/>
      </patternFill>
    </fill>
    <fill>
      <patternFill patternType="solid">
        <fgColor theme="4" tint="0.39997558519241921"/>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style="thin">
        <color indexed="64"/>
      </left>
      <right style="thin">
        <color indexed="64"/>
      </right>
      <top style="thick">
        <color theme="4" tint="0.499984740745262"/>
      </top>
      <bottom style="thin">
        <color indexed="64"/>
      </bottom>
      <diagonal/>
    </border>
    <border>
      <left style="thin">
        <color indexed="64"/>
      </left>
      <right style="thin">
        <color indexed="64"/>
      </right>
      <top style="thick">
        <color theme="4" tint="0.499984740745262"/>
      </top>
      <bottom/>
      <diagonal/>
    </border>
    <border>
      <left style="thin">
        <color indexed="64"/>
      </left>
      <right/>
      <top/>
      <bottom style="medium">
        <color indexed="64"/>
      </bottom>
      <diagonal/>
    </border>
    <border>
      <left style="medium">
        <color indexed="64"/>
      </left>
      <right/>
      <top style="medium">
        <color indexed="64"/>
      </top>
      <bottom style="thick">
        <color theme="4"/>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thin">
        <color rgb="FFB2B2B2"/>
      </left>
      <right/>
      <top style="thin">
        <color rgb="FFB2B2B2"/>
      </top>
      <bottom style="thin">
        <color rgb="FFB2B2B2"/>
      </bottom>
      <diagonal/>
    </border>
    <border>
      <left/>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s>
  <cellStyleXfs count="14">
    <xf numFmtId="0" fontId="0" fillId="0" borderId="0"/>
    <xf numFmtId="0" fontId="1" fillId="0" borderId="0" applyNumberFormat="0" applyFill="0" applyBorder="0" applyAlignment="0" applyProtection="0"/>
    <xf numFmtId="44" fontId="11" fillId="0" borderId="0" applyFont="0" applyFill="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0" applyNumberFormat="0" applyFill="0" applyBorder="0" applyAlignment="0" applyProtection="0"/>
    <xf numFmtId="0" fontId="18" fillId="0" borderId="0"/>
    <xf numFmtId="0" fontId="1" fillId="0" borderId="0" applyNumberFormat="0" applyFill="0" applyBorder="0" applyAlignment="0" applyProtection="0"/>
    <xf numFmtId="0" fontId="11" fillId="13" borderId="32" applyNumberFormat="0" applyFont="0" applyAlignment="0" applyProtection="0"/>
    <xf numFmtId="43" fontId="11" fillId="0" borderId="0" applyFont="0" applyFill="0" applyBorder="0" applyAlignment="0" applyProtection="0"/>
    <xf numFmtId="0" fontId="32" fillId="0" borderId="0" applyNumberFormat="0" applyFill="0" applyBorder="0" applyProtection="0">
      <alignment vertical="top" wrapText="1"/>
    </xf>
    <xf numFmtId="9" fontId="11" fillId="0" borderId="0" applyFont="0" applyFill="0" applyBorder="0" applyAlignment="0" applyProtection="0"/>
    <xf numFmtId="0" fontId="37" fillId="0" borderId="0">
      <alignment horizontal="left" vertical="center" wrapText="1" indent="1"/>
    </xf>
    <xf numFmtId="7" fontId="38" fillId="0" borderId="0" applyFont="0" applyFill="0" applyBorder="0" applyProtection="0">
      <alignment horizontal="right" vertical="center" indent="1"/>
    </xf>
  </cellStyleXfs>
  <cellXfs count="540">
    <xf numFmtId="0" fontId="0" fillId="0" borderId="0" xfId="0"/>
    <xf numFmtId="0" fontId="0" fillId="3" borderId="0" xfId="0" applyFill="1"/>
    <xf numFmtId="0" fontId="0" fillId="3" borderId="14" xfId="0" applyFill="1" applyBorder="1"/>
    <xf numFmtId="0" fontId="0" fillId="3" borderId="16" xfId="0" applyFill="1" applyBorder="1"/>
    <xf numFmtId="0" fontId="6" fillId="0" borderId="10" xfId="0" applyFont="1" applyBorder="1"/>
    <xf numFmtId="0" fontId="0" fillId="4" borderId="0" xfId="0" applyFill="1"/>
    <xf numFmtId="0" fontId="0" fillId="3" borderId="13" xfId="0" applyFill="1" applyBorder="1"/>
    <xf numFmtId="6" fontId="0" fillId="3" borderId="0" xfId="0" applyNumberFormat="1" applyFill="1"/>
    <xf numFmtId="6" fontId="0" fillId="3" borderId="21" xfId="0" applyNumberFormat="1" applyFill="1" applyBorder="1"/>
    <xf numFmtId="6" fontId="0" fillId="3" borderId="22" xfId="0" applyNumberFormat="1" applyFill="1" applyBorder="1"/>
    <xf numFmtId="0" fontId="0" fillId="0" borderId="7" xfId="0" applyBorder="1"/>
    <xf numFmtId="0" fontId="0" fillId="0" borderId="18"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9" xfId="0" applyBorder="1"/>
    <xf numFmtId="0" fontId="0" fillId="0" borderId="12" xfId="0" applyBorder="1"/>
    <xf numFmtId="6" fontId="0" fillId="3" borderId="4" xfId="0" applyNumberFormat="1" applyFill="1" applyBorder="1"/>
    <xf numFmtId="165" fontId="0" fillId="3" borderId="3" xfId="0" applyNumberFormat="1" applyFill="1" applyBorder="1"/>
    <xf numFmtId="165" fontId="0" fillId="3" borderId="5" xfId="0" applyNumberFormat="1" applyFill="1" applyBorder="1"/>
    <xf numFmtId="165" fontId="0" fillId="3" borderId="0" xfId="0" applyNumberFormat="1" applyFill="1"/>
    <xf numFmtId="6" fontId="9" fillId="2" borderId="2" xfId="0" applyNumberFormat="1" applyFont="1" applyFill="1" applyBorder="1"/>
    <xf numFmtId="1" fontId="9" fillId="2" borderId="1" xfId="0" applyNumberFormat="1" applyFont="1" applyFill="1" applyBorder="1"/>
    <xf numFmtId="0" fontId="9" fillId="2" borderId="17" xfId="0" applyFont="1" applyFill="1" applyBorder="1" applyAlignment="1">
      <alignment horizontal="right"/>
    </xf>
    <xf numFmtId="0" fontId="0" fillId="3" borderId="15" xfId="0" applyFill="1" applyBorder="1"/>
    <xf numFmtId="6" fontId="0" fillId="3" borderId="20" xfId="0" applyNumberFormat="1" applyFill="1" applyBorder="1"/>
    <xf numFmtId="1" fontId="9" fillId="2" borderId="2" xfId="0" applyNumberFormat="1" applyFont="1" applyFill="1" applyBorder="1"/>
    <xf numFmtId="6" fontId="9" fillId="4" borderId="0" xfId="0" applyNumberFormat="1" applyFont="1" applyFill="1"/>
    <xf numFmtId="6" fontId="0" fillId="4" borderId="0" xfId="0" applyNumberFormat="1" applyFill="1"/>
    <xf numFmtId="1" fontId="0" fillId="3" borderId="13" xfId="0" applyNumberFormat="1" applyFill="1" applyBorder="1"/>
    <xf numFmtId="0" fontId="0" fillId="4" borderId="13" xfId="0" applyFill="1" applyBorder="1"/>
    <xf numFmtId="6" fontId="9" fillId="4" borderId="13" xfId="0" applyNumberFormat="1" applyFont="1" applyFill="1" applyBorder="1"/>
    <xf numFmtId="6" fontId="0" fillId="4" borderId="13" xfId="0" applyNumberFormat="1" applyFill="1" applyBorder="1"/>
    <xf numFmtId="1" fontId="9" fillId="2" borderId="15" xfId="0" applyNumberFormat="1" applyFont="1" applyFill="1" applyBorder="1"/>
    <xf numFmtId="0" fontId="0" fillId="4" borderId="1" xfId="0" applyFill="1" applyBorder="1" applyAlignment="1">
      <alignment vertical="top" wrapText="1"/>
    </xf>
    <xf numFmtId="165" fontId="0" fillId="4" borderId="0" xfId="0" applyNumberFormat="1" applyFill="1"/>
    <xf numFmtId="165" fontId="0" fillId="3" borderId="16" xfId="0" applyNumberFormat="1" applyFill="1" applyBorder="1"/>
    <xf numFmtId="0" fontId="0" fillId="4" borderId="0" xfId="0" applyFill="1" applyAlignment="1">
      <alignment vertical="top" wrapText="1"/>
    </xf>
    <xf numFmtId="164" fontId="0" fillId="4" borderId="1" xfId="0" applyNumberFormat="1" applyFill="1" applyBorder="1" applyAlignment="1">
      <alignment vertical="top" wrapText="1"/>
    </xf>
    <xf numFmtId="165" fontId="0" fillId="4" borderId="1" xfId="0" applyNumberFormat="1" applyFill="1" applyBorder="1" applyAlignment="1">
      <alignment vertical="top" wrapText="1"/>
    </xf>
    <xf numFmtId="0" fontId="9" fillId="5" borderId="1" xfId="0" applyFont="1" applyFill="1" applyBorder="1"/>
    <xf numFmtId="8" fontId="0" fillId="4" borderId="1" xfId="0" applyNumberFormat="1" applyFill="1" applyBorder="1" applyAlignment="1">
      <alignment vertical="top" wrapText="1"/>
    </xf>
    <xf numFmtId="0" fontId="0" fillId="4" borderId="1" xfId="0" applyFill="1" applyBorder="1"/>
    <xf numFmtId="164" fontId="0" fillId="4" borderId="1" xfId="2" applyNumberFormat="1" applyFont="1" applyFill="1" applyBorder="1"/>
    <xf numFmtId="0" fontId="17" fillId="4" borderId="24" xfId="3" applyFont="1" applyFill="1" applyAlignment="1">
      <alignment wrapText="1"/>
    </xf>
    <xf numFmtId="0" fontId="11" fillId="0" borderId="0" xfId="6" quotePrefix="1" applyFont="1"/>
    <xf numFmtId="0" fontId="13" fillId="0" borderId="25" xfId="4" applyFill="1" applyAlignment="1">
      <alignment wrapText="1"/>
    </xf>
    <xf numFmtId="0" fontId="13" fillId="0" borderId="25" xfId="4" applyFill="1" applyAlignment="1"/>
    <xf numFmtId="0" fontId="19" fillId="6" borderId="21" xfId="0" applyFont="1" applyFill="1" applyBorder="1" applyAlignment="1">
      <alignment vertical="center" wrapText="1"/>
    </xf>
    <xf numFmtId="0" fontId="19" fillId="6" borderId="26" xfId="0" applyFont="1" applyFill="1" applyBorder="1" applyAlignment="1">
      <alignment vertical="center" wrapText="1"/>
    </xf>
    <xf numFmtId="0" fontId="19" fillId="6" borderId="21" xfId="0" applyFont="1" applyFill="1" applyBorder="1" applyAlignment="1">
      <alignment horizontal="left" wrapText="1"/>
    </xf>
    <xf numFmtId="0" fontId="19" fillId="6" borderId="21" xfId="0" applyFont="1" applyFill="1" applyBorder="1" applyAlignment="1">
      <alignment horizontal="left"/>
    </xf>
    <xf numFmtId="0" fontId="1" fillId="6" borderId="6" xfId="1" applyFill="1" applyBorder="1" applyAlignment="1">
      <alignment vertical="center" wrapText="1"/>
    </xf>
    <xf numFmtId="0" fontId="19" fillId="6" borderId="27" xfId="0" applyFont="1" applyFill="1" applyBorder="1" applyAlignment="1">
      <alignment vertical="center" wrapText="1"/>
    </xf>
    <xf numFmtId="0" fontId="19" fillId="6" borderId="22" xfId="0" applyFont="1" applyFill="1" applyBorder="1" applyAlignment="1">
      <alignment wrapText="1"/>
    </xf>
    <xf numFmtId="0" fontId="21" fillId="7" borderId="2" xfId="0" applyFont="1" applyFill="1" applyBorder="1"/>
    <xf numFmtId="0" fontId="0" fillId="7" borderId="13" xfId="0" applyFill="1" applyBorder="1"/>
    <xf numFmtId="0" fontId="0" fillId="0" borderId="13" xfId="0" applyBorder="1"/>
    <xf numFmtId="0" fontId="0" fillId="0" borderId="23" xfId="0" applyBorder="1"/>
    <xf numFmtId="0" fontId="1" fillId="0" borderId="3" xfId="1" applyBorder="1" applyAlignment="1"/>
    <xf numFmtId="0" fontId="0" fillId="0" borderId="3" xfId="0" applyBorder="1"/>
    <xf numFmtId="0" fontId="5" fillId="0" borderId="3" xfId="0" applyFont="1" applyBorder="1"/>
    <xf numFmtId="0" fontId="6" fillId="0" borderId="0" xfId="0" applyFont="1"/>
    <xf numFmtId="0" fontId="6" fillId="0" borderId="3" xfId="0" applyFont="1" applyBorder="1"/>
    <xf numFmtId="0" fontId="15" fillId="8" borderId="1" xfId="0" applyFont="1" applyFill="1" applyBorder="1" applyAlignment="1">
      <alignment wrapText="1"/>
    </xf>
    <xf numFmtId="0" fontId="2" fillId="0" borderId="1" xfId="0" applyFont="1" applyBorder="1" applyAlignment="1">
      <alignment vertical="center" wrapText="1"/>
    </xf>
    <xf numFmtId="6" fontId="2" fillId="0" borderId="1" xfId="0" applyNumberFormat="1" applyFont="1" applyBorder="1" applyAlignment="1">
      <alignment horizontal="right" vertical="center" wrapText="1"/>
    </xf>
    <xf numFmtId="0" fontId="6" fillId="0" borderId="1" xfId="0" applyFont="1" applyBorder="1"/>
    <xf numFmtId="164" fontId="2" fillId="0" borderId="1" xfId="0" applyNumberFormat="1" applyFont="1" applyBorder="1"/>
    <xf numFmtId="0" fontId="6" fillId="0" borderId="4" xfId="0" applyFont="1" applyBorder="1"/>
    <xf numFmtId="0" fontId="6" fillId="0" borderId="2" xfId="0" applyFont="1" applyBorder="1"/>
    <xf numFmtId="0" fontId="6" fillId="0" borderId="23" xfId="0" applyFont="1" applyBorder="1"/>
    <xf numFmtId="0" fontId="23" fillId="9" borderId="1" xfId="0" applyFont="1" applyFill="1" applyBorder="1" applyAlignment="1">
      <alignment vertical="center" wrapText="1"/>
    </xf>
    <xf numFmtId="0" fontId="23" fillId="9" borderId="1" xfId="0" applyFont="1" applyFill="1" applyBorder="1" applyAlignment="1">
      <alignment horizontal="right" vertical="center" wrapText="1"/>
    </xf>
    <xf numFmtId="2" fontId="2" fillId="0" borderId="1" xfId="0" applyNumberFormat="1" applyFont="1" applyBorder="1" applyAlignment="1">
      <alignment horizontal="right" vertical="center" wrapText="1"/>
    </xf>
    <xf numFmtId="8" fontId="2" fillId="0" borderId="1" xfId="0" applyNumberFormat="1" applyFont="1" applyBorder="1" applyAlignment="1">
      <alignment horizontal="right" vertical="center" wrapText="1"/>
    </xf>
    <xf numFmtId="0" fontId="23" fillId="9" borderId="1" xfId="0" applyFont="1" applyFill="1" applyBorder="1" applyAlignment="1">
      <alignment vertical="center"/>
    </xf>
    <xf numFmtId="0" fontId="2" fillId="0" borderId="2" xfId="0" applyFont="1" applyBorder="1" applyAlignment="1">
      <alignment vertical="center" wrapText="1"/>
    </xf>
    <xf numFmtId="6" fontId="2" fillId="0" borderId="13" xfId="0" applyNumberFormat="1" applyFont="1" applyBorder="1" applyAlignment="1">
      <alignment horizontal="right" vertical="center" wrapText="1"/>
    </xf>
    <xf numFmtId="0" fontId="2" fillId="0" borderId="1" xfId="0" applyFont="1" applyBorder="1" applyAlignment="1">
      <alignment horizontal="left" vertical="center" wrapText="1"/>
    </xf>
    <xf numFmtId="0" fontId="2" fillId="0" borderId="1" xfId="0" applyFont="1" applyBorder="1" applyAlignment="1">
      <alignment vertical="top"/>
    </xf>
    <xf numFmtId="0" fontId="2" fillId="0" borderId="1" xfId="0" applyFont="1" applyBorder="1" applyAlignment="1">
      <alignment vertical="top" wrapText="1"/>
    </xf>
    <xf numFmtId="166" fontId="2" fillId="0" borderId="1" xfId="0" applyNumberFormat="1" applyFont="1" applyBorder="1"/>
    <xf numFmtId="0" fontId="2" fillId="0" borderId="3" xfId="0" applyFont="1" applyBorder="1"/>
    <xf numFmtId="0" fontId="2" fillId="0" borderId="10" xfId="0" applyFont="1" applyBorder="1"/>
    <xf numFmtId="0" fontId="2" fillId="0" borderId="1" xfId="0" applyFont="1" applyBorder="1" applyAlignment="1">
      <alignment vertical="center"/>
    </xf>
    <xf numFmtId="8" fontId="2" fillId="0" borderId="1" xfId="0" applyNumberFormat="1" applyFont="1" applyBorder="1" applyAlignment="1">
      <alignment horizontal="right" vertical="center"/>
    </xf>
    <xf numFmtId="0" fontId="2" fillId="0" borderId="1" xfId="0" applyFont="1" applyBorder="1" applyAlignment="1">
      <alignment horizontal="right" vertical="center"/>
    </xf>
    <xf numFmtId="0" fontId="0" fillId="0" borderId="2" xfId="0" applyBorder="1"/>
    <xf numFmtId="0" fontId="23" fillId="9" borderId="1" xfId="0" applyFont="1" applyFill="1" applyBorder="1" applyAlignment="1">
      <alignment horizontal="right" vertical="top" wrapText="1"/>
    </xf>
    <xf numFmtId="167" fontId="2" fillId="0" borderId="1" xfId="0" applyNumberFormat="1" applyFont="1" applyBorder="1" applyAlignment="1">
      <alignment horizontal="right" vertical="center" wrapText="1"/>
    </xf>
    <xf numFmtId="168" fontId="2" fillId="0" borderId="1" xfId="0" applyNumberFormat="1" applyFont="1" applyBorder="1" applyAlignment="1">
      <alignment horizontal="right" vertical="center" wrapText="1"/>
    </xf>
    <xf numFmtId="0" fontId="12" fillId="0" borderId="29" xfId="3" applyFill="1" applyBorder="1" applyAlignment="1" applyProtection="1"/>
    <xf numFmtId="0" fontId="14" fillId="0" borderId="9" xfId="5" applyBorder="1" applyProtection="1"/>
    <xf numFmtId="0" fontId="0" fillId="3" borderId="1" xfId="0" applyFill="1" applyBorder="1"/>
    <xf numFmtId="1" fontId="0" fillId="3" borderId="1" xfId="0" applyNumberFormat="1" applyFill="1" applyBorder="1"/>
    <xf numFmtId="0" fontId="15" fillId="10" borderId="30" xfId="0" applyFont="1" applyFill="1" applyBorder="1"/>
    <xf numFmtId="0" fontId="15" fillId="10" borderId="31" xfId="0" applyFont="1" applyFill="1" applyBorder="1" applyAlignment="1">
      <alignment horizontal="left"/>
    </xf>
    <xf numFmtId="0" fontId="15" fillId="7" borderId="1" xfId="0" applyFont="1" applyFill="1" applyBorder="1" applyAlignment="1">
      <alignment horizontal="right"/>
    </xf>
    <xf numFmtId="0" fontId="15" fillId="11" borderId="1" xfId="0" applyFont="1" applyFill="1" applyBorder="1" applyAlignment="1">
      <alignment horizontal="center"/>
    </xf>
    <xf numFmtId="0" fontId="27" fillId="0" borderId="9" xfId="0" quotePrefix="1" applyFont="1" applyBorder="1" applyAlignment="1">
      <alignment vertical="top"/>
    </xf>
    <xf numFmtId="165" fontId="0" fillId="3" borderId="1" xfId="0" applyNumberFormat="1" applyFill="1" applyBorder="1"/>
    <xf numFmtId="0" fontId="15" fillId="10" borderId="1" xfId="0" applyFont="1" applyFill="1" applyBorder="1" applyAlignment="1">
      <alignment horizontal="center" vertical="center" wrapText="1"/>
    </xf>
    <xf numFmtId="0" fontId="16" fillId="7" borderId="1" xfId="0" applyFont="1" applyFill="1" applyBorder="1" applyAlignment="1">
      <alignment horizontal="right"/>
    </xf>
    <xf numFmtId="0" fontId="16" fillId="7" borderId="17" xfId="0" applyFont="1" applyFill="1" applyBorder="1" applyAlignment="1">
      <alignment horizontal="right"/>
    </xf>
    <xf numFmtId="0" fontId="16" fillId="7" borderId="22" xfId="0" applyFont="1" applyFill="1" applyBorder="1" applyAlignment="1">
      <alignment horizontal="right"/>
    </xf>
    <xf numFmtId="0" fontId="16" fillId="7" borderId="15" xfId="0" applyFont="1" applyFill="1" applyBorder="1" applyAlignment="1">
      <alignment horizontal="right"/>
    </xf>
    <xf numFmtId="0" fontId="16" fillId="7" borderId="15" xfId="0" applyFont="1" applyFill="1" applyBorder="1"/>
    <xf numFmtId="0" fontId="16" fillId="7" borderId="16" xfId="0" applyFont="1" applyFill="1" applyBorder="1"/>
    <xf numFmtId="0" fontId="16" fillId="7" borderId="16" xfId="0" applyFont="1" applyFill="1" applyBorder="1" applyAlignment="1">
      <alignment horizontal="right"/>
    </xf>
    <xf numFmtId="0" fontId="16" fillId="7" borderId="23" xfId="0" applyFont="1" applyFill="1" applyBorder="1" applyAlignment="1">
      <alignment horizontal="right"/>
    </xf>
    <xf numFmtId="0" fontId="16" fillId="7" borderId="15" xfId="0" applyFont="1" applyFill="1" applyBorder="1" applyAlignment="1">
      <alignment horizontal="left"/>
    </xf>
    <xf numFmtId="0" fontId="16" fillId="7" borderId="1" xfId="0" applyFont="1" applyFill="1" applyBorder="1" applyAlignment="1">
      <alignment vertical="top" wrapText="1"/>
    </xf>
    <xf numFmtId="0" fontId="16" fillId="7" borderId="1" xfId="0" applyFont="1" applyFill="1" applyBorder="1"/>
    <xf numFmtId="0" fontId="16" fillId="7" borderId="1" xfId="0" applyFont="1" applyFill="1" applyBorder="1" applyAlignment="1">
      <alignment wrapText="1"/>
    </xf>
    <xf numFmtId="6" fontId="9" fillId="2" borderId="1" xfId="0" applyNumberFormat="1" applyFont="1" applyFill="1" applyBorder="1"/>
    <xf numFmtId="1" fontId="0" fillId="3" borderId="3" xfId="0" applyNumberFormat="1" applyFill="1" applyBorder="1" applyAlignment="1">
      <alignment horizontal="right"/>
    </xf>
    <xf numFmtId="0" fontId="0" fillId="3" borderId="3" xfId="0" applyFill="1" applyBorder="1" applyAlignment="1">
      <alignment horizontal="right"/>
    </xf>
    <xf numFmtId="165" fontId="2" fillId="0" borderId="1" xfId="0" applyNumberFormat="1" applyFont="1" applyBorder="1"/>
    <xf numFmtId="164" fontId="2" fillId="0" borderId="1" xfId="0" applyNumberFormat="1" applyFont="1" applyBorder="1" applyAlignment="1">
      <alignment horizontal="right"/>
    </xf>
    <xf numFmtId="0" fontId="6" fillId="12" borderId="0" xfId="0" applyFont="1" applyFill="1"/>
    <xf numFmtId="0" fontId="6" fillId="12" borderId="23" xfId="0" applyFont="1" applyFill="1" applyBorder="1"/>
    <xf numFmtId="0" fontId="6" fillId="12" borderId="4" xfId="0" applyFont="1" applyFill="1" applyBorder="1"/>
    <xf numFmtId="0" fontId="6" fillId="12" borderId="6" xfId="0" applyFont="1" applyFill="1" applyBorder="1"/>
    <xf numFmtId="0" fontId="0" fillId="4" borderId="13" xfId="0" applyFill="1" applyBorder="1" applyAlignment="1">
      <alignment vertical="top" wrapText="1"/>
    </xf>
    <xf numFmtId="165" fontId="0" fillId="4" borderId="13" xfId="0" applyNumberFormat="1" applyFill="1" applyBorder="1" applyAlignment="1">
      <alignment vertical="top" wrapText="1"/>
    </xf>
    <xf numFmtId="0" fontId="0" fillId="12" borderId="1" xfId="0" applyFill="1" applyBorder="1" applyAlignment="1">
      <alignment vertical="top" wrapText="1"/>
    </xf>
    <xf numFmtId="8" fontId="0" fillId="12" borderId="1" xfId="0" applyNumberFormat="1" applyFill="1" applyBorder="1" applyAlignment="1">
      <alignment vertical="top" wrapText="1"/>
    </xf>
    <xf numFmtId="6" fontId="0" fillId="4" borderId="1" xfId="0" applyNumberFormat="1" applyFill="1" applyBorder="1" applyAlignment="1">
      <alignment vertical="top" wrapText="1"/>
    </xf>
    <xf numFmtId="0" fontId="12" fillId="0" borderId="0" xfId="3" applyFill="1" applyBorder="1" applyAlignment="1" applyProtection="1"/>
    <xf numFmtId="0" fontId="14" fillId="0" borderId="0" xfId="5" applyBorder="1" applyProtection="1"/>
    <xf numFmtId="165" fontId="9" fillId="2" borderId="2" xfId="0" applyNumberFormat="1" applyFont="1" applyFill="1" applyBorder="1"/>
    <xf numFmtId="165" fontId="9" fillId="2" borderId="20" xfId="0" applyNumberFormat="1" applyFont="1" applyFill="1" applyBorder="1"/>
    <xf numFmtId="165" fontId="9" fillId="2" borderId="15" xfId="0" applyNumberFormat="1" applyFont="1" applyFill="1" applyBorder="1"/>
    <xf numFmtId="165" fontId="9" fillId="2" borderId="1" xfId="0" applyNumberFormat="1" applyFont="1" applyFill="1" applyBorder="1"/>
    <xf numFmtId="0" fontId="14" fillId="12" borderId="0" xfId="5" applyFill="1" applyBorder="1" applyProtection="1"/>
    <xf numFmtId="167" fontId="0" fillId="4" borderId="1" xfId="0" applyNumberFormat="1" applyFill="1" applyBorder="1" applyAlignment="1">
      <alignment vertical="top" wrapText="1"/>
    </xf>
    <xf numFmtId="164" fontId="0" fillId="4" borderId="1" xfId="0" applyNumberFormat="1" applyFill="1" applyBorder="1"/>
    <xf numFmtId="169" fontId="0" fillId="4" borderId="1" xfId="0" applyNumberFormat="1" applyFill="1" applyBorder="1"/>
    <xf numFmtId="166" fontId="0" fillId="4" borderId="1" xfId="0" applyNumberFormat="1" applyFill="1" applyBorder="1"/>
    <xf numFmtId="2" fontId="0" fillId="3" borderId="1" xfId="0" applyNumberFormat="1" applyFill="1" applyBorder="1"/>
    <xf numFmtId="0" fontId="14" fillId="4" borderId="9" xfId="5" applyFill="1" applyBorder="1" applyProtection="1"/>
    <xf numFmtId="0" fontId="0" fillId="4" borderId="9" xfId="0" applyFill="1" applyBorder="1"/>
    <xf numFmtId="0" fontId="0" fillId="4" borderId="10" xfId="0" applyFill="1" applyBorder="1"/>
    <xf numFmtId="0" fontId="0" fillId="4" borderId="11" xfId="0" applyFill="1" applyBorder="1"/>
    <xf numFmtId="0" fontId="0" fillId="4" borderId="19" xfId="0" applyFill="1" applyBorder="1"/>
    <xf numFmtId="0" fontId="0" fillId="4" borderId="12" xfId="0" applyFill="1" applyBorder="1"/>
    <xf numFmtId="0" fontId="0" fillId="13" borderId="32" xfId="8" applyFont="1"/>
    <xf numFmtId="0" fontId="0" fillId="13" borderId="32" xfId="8" applyFont="1" applyAlignment="1">
      <alignment vertical="top"/>
    </xf>
    <xf numFmtId="0" fontId="0" fillId="13" borderId="32" xfId="8" applyFont="1" applyAlignment="1"/>
    <xf numFmtId="0" fontId="0" fillId="13" borderId="32" xfId="8" applyFont="1" applyAlignment="1">
      <alignment wrapText="1"/>
    </xf>
    <xf numFmtId="0" fontId="9" fillId="2" borderId="1" xfId="0" applyFont="1" applyFill="1" applyBorder="1"/>
    <xf numFmtId="6" fontId="10" fillId="14" borderId="0" xfId="0" applyNumberFormat="1" applyFont="1" applyFill="1"/>
    <xf numFmtId="170" fontId="9" fillId="3" borderId="16" xfId="2" applyNumberFormat="1" applyFont="1" applyFill="1" applyBorder="1"/>
    <xf numFmtId="43" fontId="9" fillId="3" borderId="17" xfId="9" applyFont="1" applyFill="1" applyBorder="1"/>
    <xf numFmtId="0" fontId="16" fillId="7" borderId="20" xfId="0" applyFont="1" applyFill="1" applyBorder="1" applyAlignment="1">
      <alignment horizontal="right"/>
    </xf>
    <xf numFmtId="0" fontId="16" fillId="7" borderId="20" xfId="0" applyFont="1" applyFill="1" applyBorder="1" applyAlignment="1">
      <alignment horizontal="right" wrapText="1"/>
    </xf>
    <xf numFmtId="0" fontId="16" fillId="7" borderId="0" xfId="0" applyFont="1" applyFill="1" applyAlignment="1">
      <alignment horizontal="right" wrapText="1"/>
    </xf>
    <xf numFmtId="165" fontId="9" fillId="2" borderId="1" xfId="2" applyNumberFormat="1" applyFont="1" applyFill="1" applyBorder="1"/>
    <xf numFmtId="6" fontId="9" fillId="2" borderId="20" xfId="0" applyNumberFormat="1" applyFont="1" applyFill="1" applyBorder="1"/>
    <xf numFmtId="6" fontId="0" fillId="3" borderId="1" xfId="0" applyNumberFormat="1" applyFill="1" applyBorder="1"/>
    <xf numFmtId="0" fontId="19" fillId="5" borderId="4" xfId="0" applyFont="1" applyFill="1" applyBorder="1" applyAlignment="1">
      <alignment wrapText="1"/>
    </xf>
    <xf numFmtId="0" fontId="19" fillId="14" borderId="4" xfId="0" applyFont="1" applyFill="1" applyBorder="1" applyAlignment="1">
      <alignment wrapText="1"/>
    </xf>
    <xf numFmtId="165" fontId="10" fillId="14" borderId="1" xfId="2" applyNumberFormat="1" applyFont="1" applyFill="1" applyBorder="1"/>
    <xf numFmtId="0" fontId="19" fillId="3" borderId="4" xfId="0" applyFont="1" applyFill="1" applyBorder="1" applyAlignment="1">
      <alignment wrapText="1"/>
    </xf>
    <xf numFmtId="6" fontId="0" fillId="3" borderId="16" xfId="0" applyNumberFormat="1" applyFill="1" applyBorder="1"/>
    <xf numFmtId="6" fontId="10" fillId="14" borderId="16" xfId="0" applyNumberFormat="1" applyFont="1" applyFill="1" applyBorder="1"/>
    <xf numFmtId="6" fontId="0" fillId="3" borderId="17" xfId="0" applyNumberFormat="1" applyFill="1" applyBorder="1"/>
    <xf numFmtId="165" fontId="0" fillId="3" borderId="13" xfId="0" applyNumberFormat="1" applyFill="1" applyBorder="1"/>
    <xf numFmtId="0" fontId="0" fillId="3" borderId="23" xfId="0" applyFill="1" applyBorder="1"/>
    <xf numFmtId="14" fontId="0" fillId="3" borderId="6" xfId="0" applyNumberFormat="1" applyFill="1" applyBorder="1"/>
    <xf numFmtId="167" fontId="0" fillId="4" borderId="1" xfId="0" applyNumberFormat="1" applyFill="1" applyBorder="1" applyAlignment="1">
      <alignment horizontal="right" vertical="top" wrapText="1"/>
    </xf>
    <xf numFmtId="171" fontId="9" fillId="2" borderId="1" xfId="0" applyNumberFormat="1" applyFont="1" applyFill="1" applyBorder="1"/>
    <xf numFmtId="1" fontId="0" fillId="0" borderId="0" xfId="0" applyNumberFormat="1"/>
    <xf numFmtId="173" fontId="0" fillId="0" borderId="0" xfId="9" applyNumberFormat="1" applyFont="1"/>
    <xf numFmtId="0" fontId="34" fillId="0" borderId="9" xfId="0" applyFont="1" applyBorder="1"/>
    <xf numFmtId="164" fontId="0" fillId="0" borderId="0" xfId="0" applyNumberFormat="1"/>
    <xf numFmtId="0" fontId="0" fillId="0" borderId="1" xfId="0" applyBorder="1"/>
    <xf numFmtId="173" fontId="0" fillId="0" borderId="1" xfId="9" applyNumberFormat="1" applyFont="1" applyBorder="1"/>
    <xf numFmtId="173" fontId="0" fillId="0" borderId="34" xfId="9" applyNumberFormat="1" applyFont="1" applyBorder="1"/>
    <xf numFmtId="173" fontId="0" fillId="0" borderId="33" xfId="9" applyNumberFormat="1" applyFont="1" applyBorder="1"/>
    <xf numFmtId="173" fontId="0" fillId="0" borderId="1" xfId="9" applyNumberFormat="1" applyFont="1" applyFill="1" applyBorder="1"/>
    <xf numFmtId="165" fontId="0" fillId="0" borderId="34" xfId="0" applyNumberFormat="1" applyBorder="1"/>
    <xf numFmtId="165" fontId="0" fillId="0" borderId="35" xfId="0" applyNumberFormat="1" applyBorder="1"/>
    <xf numFmtId="165" fontId="0" fillId="0" borderId="1" xfId="0" applyNumberFormat="1" applyBorder="1"/>
    <xf numFmtId="165" fontId="0" fillId="0" borderId="15" xfId="0" applyNumberFormat="1" applyBorder="1"/>
    <xf numFmtId="165" fontId="0" fillId="0" borderId="33" xfId="0" applyNumberFormat="1" applyBorder="1"/>
    <xf numFmtId="165" fontId="0" fillId="0" borderId="1" xfId="2" applyNumberFormat="1" applyFont="1" applyFill="1" applyBorder="1"/>
    <xf numFmtId="165" fontId="0" fillId="0" borderId="15" xfId="2" applyNumberFormat="1" applyFont="1" applyFill="1" applyBorder="1"/>
    <xf numFmtId="0" fontId="10" fillId="4" borderId="0" xfId="0" applyFont="1" applyFill="1"/>
    <xf numFmtId="165" fontId="33" fillId="4" borderId="0" xfId="0" applyNumberFormat="1" applyFont="1" applyFill="1"/>
    <xf numFmtId="165" fontId="36" fillId="4" borderId="0" xfId="0" applyNumberFormat="1" applyFont="1" applyFill="1"/>
    <xf numFmtId="0" fontId="40" fillId="0" borderId="1" xfId="0" applyFont="1" applyBorder="1" applyAlignment="1">
      <alignment vertical="center" wrapText="1"/>
    </xf>
    <xf numFmtId="165" fontId="40" fillId="0" borderId="1" xfId="0" applyNumberFormat="1" applyFont="1" applyBorder="1"/>
    <xf numFmtId="164" fontId="40" fillId="0" borderId="1" xfId="0" applyNumberFormat="1" applyFont="1" applyBorder="1"/>
    <xf numFmtId="173" fontId="2" fillId="0" borderId="0" xfId="9" applyNumberFormat="1" applyFont="1" applyFill="1" applyBorder="1"/>
    <xf numFmtId="165" fontId="0" fillId="0" borderId="0" xfId="0" applyNumberFormat="1"/>
    <xf numFmtId="173" fontId="33" fillId="0" borderId="0" xfId="9" applyNumberFormat="1" applyFont="1" applyFill="1" applyBorder="1"/>
    <xf numFmtId="173" fontId="36" fillId="0" borderId="0" xfId="9" applyNumberFormat="1" applyFont="1" applyFill="1" applyBorder="1"/>
    <xf numFmtId="0" fontId="0" fillId="13" borderId="37" xfId="8" applyFont="1" applyBorder="1"/>
    <xf numFmtId="0" fontId="23" fillId="9" borderId="15" xfId="0" applyFont="1" applyFill="1" applyBorder="1" applyAlignment="1">
      <alignment horizontal="right" vertical="center" wrapText="1"/>
    </xf>
    <xf numFmtId="6" fontId="2" fillId="0" borderId="15" xfId="0" applyNumberFormat="1" applyFont="1" applyBorder="1" applyAlignment="1">
      <alignment horizontal="right" vertical="center" wrapText="1"/>
    </xf>
    <xf numFmtId="167" fontId="2" fillId="0" borderId="15" xfId="0" applyNumberFormat="1" applyFont="1" applyBorder="1" applyAlignment="1">
      <alignment horizontal="right" vertical="center" wrapText="1"/>
    </xf>
    <xf numFmtId="0" fontId="0" fillId="7" borderId="0" xfId="0" applyFill="1"/>
    <xf numFmtId="0" fontId="36" fillId="0" borderId="0" xfId="0" applyFont="1"/>
    <xf numFmtId="0" fontId="23" fillId="9" borderId="0" xfId="0" applyFont="1" applyFill="1" applyAlignment="1">
      <alignment horizontal="right" vertical="center" wrapText="1"/>
    </xf>
    <xf numFmtId="0" fontId="0" fillId="0" borderId="0" xfId="0" applyAlignment="1">
      <alignment horizontal="left"/>
    </xf>
    <xf numFmtId="167" fontId="2" fillId="0" borderId="0" xfId="0" applyNumberFormat="1" applyFont="1" applyAlignment="1">
      <alignment horizontal="right" vertical="center"/>
    </xf>
    <xf numFmtId="167" fontId="2" fillId="0" borderId="0" xfId="0" applyNumberFormat="1" applyFont="1" applyAlignment="1">
      <alignment horizontal="left" vertical="center"/>
    </xf>
    <xf numFmtId="172" fontId="2" fillId="0" borderId="0" xfId="0" applyNumberFormat="1" applyFont="1" applyAlignment="1">
      <alignment horizontal="right" vertical="center"/>
    </xf>
    <xf numFmtId="1" fontId="2" fillId="0" borderId="0" xfId="0" applyNumberFormat="1" applyFont="1" applyAlignment="1">
      <alignment horizontal="right" vertical="center"/>
    </xf>
    <xf numFmtId="0" fontId="23" fillId="9" borderId="1" xfId="0" applyFont="1" applyFill="1" applyBorder="1" applyAlignment="1">
      <alignment horizontal="right" vertical="center"/>
    </xf>
    <xf numFmtId="0" fontId="0" fillId="0" borderId="0" xfId="0" applyAlignment="1">
      <alignment horizontal="center"/>
    </xf>
    <xf numFmtId="0" fontId="34" fillId="0" borderId="7" xfId="0" applyFont="1" applyBorder="1"/>
    <xf numFmtId="0" fontId="41" fillId="0" borderId="9" xfId="0" applyFont="1" applyBorder="1"/>
    <xf numFmtId="0" fontId="0" fillId="0" borderId="36" xfId="0" applyBorder="1"/>
    <xf numFmtId="1" fontId="0" fillId="0" borderId="14" xfId="9" applyNumberFormat="1" applyFont="1" applyBorder="1" applyAlignment="1">
      <alignment horizontal="center"/>
    </xf>
    <xf numFmtId="0" fontId="0" fillId="4" borderId="28" xfId="0" applyFill="1" applyBorder="1" applyAlignment="1">
      <alignment horizontal="center" wrapText="1"/>
    </xf>
    <xf numFmtId="0" fontId="0" fillId="4" borderId="39" xfId="0" applyFill="1" applyBorder="1" applyAlignment="1">
      <alignment horizontal="center" wrapText="1"/>
    </xf>
    <xf numFmtId="1" fontId="0" fillId="0" borderId="3" xfId="9" applyNumberFormat="1" applyFont="1" applyBorder="1" applyAlignment="1">
      <alignment horizontal="center"/>
    </xf>
    <xf numFmtId="1" fontId="0" fillId="0" borderId="4" xfId="0" applyNumberFormat="1" applyBorder="1" applyAlignment="1">
      <alignment horizontal="center"/>
    </xf>
    <xf numFmtId="1" fontId="0" fillId="0" borderId="5" xfId="9" applyNumberFormat="1" applyFont="1" applyBorder="1" applyAlignment="1">
      <alignment horizontal="center"/>
    </xf>
    <xf numFmtId="1" fontId="0" fillId="0" borderId="6" xfId="0" applyNumberFormat="1" applyBorder="1" applyAlignment="1">
      <alignment horizontal="center"/>
    </xf>
    <xf numFmtId="1" fontId="41" fillId="0" borderId="5" xfId="9" applyNumberFormat="1" applyFont="1" applyBorder="1" applyAlignment="1">
      <alignment horizontal="center"/>
    </xf>
    <xf numFmtId="1" fontId="41" fillId="0" borderId="6" xfId="0" applyNumberFormat="1" applyFont="1" applyBorder="1" applyAlignment="1">
      <alignment horizontal="center"/>
    </xf>
    <xf numFmtId="1" fontId="0" fillId="0" borderId="39" xfId="0" applyNumberFormat="1" applyBorder="1" applyAlignment="1">
      <alignment horizontal="center" wrapText="1"/>
    </xf>
    <xf numFmtId="1" fontId="0" fillId="0" borderId="3" xfId="0" applyNumberFormat="1" applyBorder="1" applyAlignment="1">
      <alignment horizontal="center"/>
    </xf>
    <xf numFmtId="1" fontId="0" fillId="0" borderId="5" xfId="0" applyNumberFormat="1" applyBorder="1" applyAlignment="1">
      <alignment horizontal="center"/>
    </xf>
    <xf numFmtId="1" fontId="41" fillId="0" borderId="5" xfId="0" applyNumberFormat="1" applyFont="1" applyBorder="1" applyAlignment="1">
      <alignment horizontal="center"/>
    </xf>
    <xf numFmtId="0" fontId="0" fillId="0" borderId="40" xfId="0" applyBorder="1" applyAlignment="1">
      <alignment horizontal="center" wrapText="1"/>
    </xf>
    <xf numFmtId="1" fontId="0" fillId="0" borderId="21" xfId="9" applyNumberFormat="1" applyFont="1" applyBorder="1" applyAlignment="1">
      <alignment horizontal="center"/>
    </xf>
    <xf numFmtId="1" fontId="0" fillId="0" borderId="22" xfId="9" applyNumberFormat="1" applyFont="1" applyBorder="1" applyAlignment="1">
      <alignment horizontal="center"/>
    </xf>
    <xf numFmtId="1" fontId="41" fillId="0" borderId="22" xfId="9" applyNumberFormat="1" applyFont="1" applyBorder="1" applyAlignment="1">
      <alignment horizontal="center"/>
    </xf>
    <xf numFmtId="1" fontId="0" fillId="0" borderId="0" xfId="9" applyNumberFormat="1" applyFont="1" applyBorder="1" applyAlignment="1">
      <alignment horizontal="center"/>
    </xf>
    <xf numFmtId="173" fontId="0" fillId="0" borderId="4" xfId="9" applyNumberFormat="1" applyFont="1" applyBorder="1" applyAlignment="1">
      <alignment horizontal="center"/>
    </xf>
    <xf numFmtId="173" fontId="0" fillId="0" borderId="6" xfId="9" applyNumberFormat="1" applyFont="1" applyBorder="1" applyAlignment="1">
      <alignment horizontal="center"/>
    </xf>
    <xf numFmtId="1" fontId="41" fillId="0" borderId="14" xfId="9" applyNumberFormat="1" applyFont="1" applyBorder="1" applyAlignment="1">
      <alignment horizontal="center"/>
    </xf>
    <xf numFmtId="173" fontId="41" fillId="0" borderId="6" xfId="9" applyNumberFormat="1" applyFont="1" applyBorder="1" applyAlignment="1">
      <alignment horizontal="center"/>
    </xf>
    <xf numFmtId="0" fontId="34" fillId="0" borderId="1" xfId="0" applyFont="1" applyBorder="1" applyAlignment="1">
      <alignment horizontal="center" wrapText="1"/>
    </xf>
    <xf numFmtId="172" fontId="0" fillId="0" borderId="4" xfId="0" applyNumberFormat="1" applyBorder="1" applyAlignment="1">
      <alignment horizontal="center"/>
    </xf>
    <xf numFmtId="172" fontId="0" fillId="0" borderId="6" xfId="0" applyNumberFormat="1" applyBorder="1" applyAlignment="1">
      <alignment horizontal="center"/>
    </xf>
    <xf numFmtId="172" fontId="0" fillId="0" borderId="0" xfId="9" applyNumberFormat="1" applyFont="1" applyBorder="1" applyAlignment="1">
      <alignment horizontal="center"/>
    </xf>
    <xf numFmtId="172" fontId="0" fillId="0" borderId="14" xfId="9" applyNumberFormat="1" applyFont="1" applyBorder="1" applyAlignment="1">
      <alignment horizontal="center"/>
    </xf>
    <xf numFmtId="172" fontId="41" fillId="0" borderId="14" xfId="9" applyNumberFormat="1" applyFont="1" applyBorder="1" applyAlignment="1">
      <alignment horizontal="center"/>
    </xf>
    <xf numFmtId="172" fontId="41" fillId="0" borderId="6" xfId="0" applyNumberFormat="1" applyFont="1" applyBorder="1" applyAlignment="1">
      <alignment horizontal="center"/>
    </xf>
    <xf numFmtId="0" fontId="34" fillId="0" borderId="0" xfId="0" applyFont="1" applyAlignment="1">
      <alignment horizontal="center" wrapText="1"/>
    </xf>
    <xf numFmtId="173" fontId="34" fillId="5" borderId="1" xfId="9" applyNumberFormat="1" applyFont="1" applyFill="1" applyBorder="1" applyAlignment="1">
      <alignment horizontal="center"/>
    </xf>
    <xf numFmtId="0" fontId="10" fillId="0" borderId="0" xfId="0" applyFont="1"/>
    <xf numFmtId="0" fontId="0" fillId="0" borderId="14" xfId="0" applyBorder="1"/>
    <xf numFmtId="0" fontId="47" fillId="0" borderId="0" xfId="0" applyFont="1" applyAlignment="1">
      <alignment horizontal="left"/>
    </xf>
    <xf numFmtId="0" fontId="23" fillId="16" borderId="1" xfId="0" applyFont="1" applyFill="1" applyBorder="1" applyAlignment="1">
      <alignment horizontal="left" vertical="center" wrapText="1"/>
    </xf>
    <xf numFmtId="0" fontId="23" fillId="16" borderId="1" xfId="0" applyFont="1" applyFill="1" applyBorder="1" applyAlignment="1">
      <alignment horizontal="right" vertical="center" wrapText="1"/>
    </xf>
    <xf numFmtId="0" fontId="16" fillId="7" borderId="16" xfId="0" applyFont="1" applyFill="1" applyBorder="1" applyAlignment="1">
      <alignment horizontal="right" wrapText="1"/>
    </xf>
    <xf numFmtId="0" fontId="16" fillId="7" borderId="15" xfId="0" applyFont="1" applyFill="1" applyBorder="1" applyAlignment="1">
      <alignment horizontal="center" wrapText="1"/>
    </xf>
    <xf numFmtId="49" fontId="34" fillId="0" borderId="0" xfId="0" applyNumberFormat="1" applyFont="1" applyAlignment="1">
      <alignment horizontal="left"/>
    </xf>
    <xf numFmtId="0" fontId="34" fillId="0" borderId="0" xfId="0" applyFont="1"/>
    <xf numFmtId="49" fontId="34" fillId="0" borderId="0" xfId="0" applyNumberFormat="1" applyFont="1" applyAlignment="1">
      <alignment wrapText="1"/>
    </xf>
    <xf numFmtId="0" fontId="34" fillId="0" borderId="3" xfId="0" applyFont="1" applyBorder="1"/>
    <xf numFmtId="0" fontId="34" fillId="0" borderId="0" xfId="0" applyFont="1" applyAlignment="1">
      <alignment horizontal="right"/>
    </xf>
    <xf numFmtId="3" fontId="0" fillId="0" borderId="0" xfId="0" applyNumberFormat="1"/>
    <xf numFmtId="2" fontId="0" fillId="0" borderId="0" xfId="0" applyNumberFormat="1"/>
    <xf numFmtId="171" fontId="0" fillId="0" borderId="0" xfId="11" applyNumberFormat="1" applyFont="1" applyBorder="1" applyAlignment="1"/>
    <xf numFmtId="2" fontId="0" fillId="0" borderId="0" xfId="11" applyNumberFormat="1" applyFont="1" applyBorder="1" applyAlignment="1"/>
    <xf numFmtId="49" fontId="34" fillId="0" borderId="14" xfId="0" applyNumberFormat="1" applyFont="1" applyBorder="1" applyAlignment="1">
      <alignment horizontal="left"/>
    </xf>
    <xf numFmtId="0" fontId="0" fillId="0" borderId="14" xfId="0" applyBorder="1" applyAlignment="1">
      <alignment horizontal="center"/>
    </xf>
    <xf numFmtId="0" fontId="0" fillId="0" borderId="6" xfId="0" applyBorder="1" applyAlignment="1">
      <alignment horizontal="center"/>
    </xf>
    <xf numFmtId="0" fontId="41" fillId="4" borderId="0" xfId="0" applyFont="1" applyFill="1"/>
    <xf numFmtId="0" fontId="41" fillId="4" borderId="0" xfId="0" applyFont="1" applyFill="1" applyAlignment="1">
      <alignment horizontal="center"/>
    </xf>
    <xf numFmtId="9" fontId="0" fillId="0" borderId="0" xfId="0" applyNumberFormat="1"/>
    <xf numFmtId="165" fontId="34" fillId="0" borderId="0" xfId="0" applyNumberFormat="1" applyFont="1"/>
    <xf numFmtId="9" fontId="0" fillId="4" borderId="0" xfId="11" applyFont="1" applyFill="1"/>
    <xf numFmtId="1" fontId="50" fillId="0" borderId="21" xfId="9" applyNumberFormat="1" applyFont="1" applyBorder="1" applyAlignment="1">
      <alignment horizontal="center"/>
    </xf>
    <xf numFmtId="1" fontId="50" fillId="0" borderId="22" xfId="9" applyNumberFormat="1" applyFont="1" applyBorder="1" applyAlignment="1">
      <alignment horizontal="center"/>
    </xf>
    <xf numFmtId="1" fontId="51" fillId="0" borderId="22" xfId="9" applyNumberFormat="1" applyFont="1" applyBorder="1" applyAlignment="1">
      <alignment horizontal="center"/>
    </xf>
    <xf numFmtId="1" fontId="50" fillId="0" borderId="3" xfId="9" applyNumberFormat="1" applyFont="1" applyBorder="1" applyAlignment="1">
      <alignment horizontal="center"/>
    </xf>
    <xf numFmtId="1" fontId="50" fillId="0" borderId="5" xfId="9" applyNumberFormat="1" applyFont="1" applyBorder="1" applyAlignment="1">
      <alignment horizontal="center"/>
    </xf>
    <xf numFmtId="1" fontId="51" fillId="0" borderId="5" xfId="9" applyNumberFormat="1" applyFont="1" applyBorder="1" applyAlignment="1">
      <alignment horizontal="center"/>
    </xf>
    <xf numFmtId="0" fontId="50" fillId="0" borderId="0" xfId="0" applyFont="1"/>
    <xf numFmtId="0" fontId="49" fillId="0" borderId="3" xfId="0" applyFont="1" applyBorder="1"/>
    <xf numFmtId="0" fontId="49" fillId="0" borderId="22" xfId="0" applyFont="1" applyBorder="1"/>
    <xf numFmtId="0" fontId="51" fillId="0" borderId="5" xfId="0" applyFont="1" applyBorder="1"/>
    <xf numFmtId="0" fontId="0" fillId="0" borderId="38" xfId="0" applyBorder="1"/>
    <xf numFmtId="1" fontId="50" fillId="0" borderId="43" xfId="9" applyNumberFormat="1" applyFont="1" applyBorder="1" applyAlignment="1">
      <alignment horizontal="center"/>
    </xf>
    <xf numFmtId="1" fontId="50" fillId="0" borderId="44" xfId="9" applyNumberFormat="1" applyFont="1" applyBorder="1" applyAlignment="1">
      <alignment horizontal="center"/>
    </xf>
    <xf numFmtId="1" fontId="51" fillId="0" borderId="44" xfId="9" applyNumberFormat="1" applyFont="1" applyBorder="1" applyAlignment="1">
      <alignment horizontal="center"/>
    </xf>
    <xf numFmtId="6" fontId="41" fillId="4" borderId="13" xfId="0" applyNumberFormat="1" applyFont="1" applyFill="1" applyBorder="1"/>
    <xf numFmtId="0" fontId="34" fillId="3" borderId="1" xfId="0" applyFont="1" applyFill="1" applyBorder="1"/>
    <xf numFmtId="1" fontId="50" fillId="0" borderId="9" xfId="9" applyNumberFormat="1" applyFont="1" applyBorder="1" applyAlignment="1">
      <alignment horizontal="center"/>
    </xf>
    <xf numFmtId="1" fontId="50" fillId="0" borderId="36" xfId="9" applyNumberFormat="1" applyFont="1" applyBorder="1" applyAlignment="1">
      <alignment horizontal="center"/>
    </xf>
    <xf numFmtId="1" fontId="51" fillId="0" borderId="36" xfId="9" applyNumberFormat="1" applyFont="1" applyBorder="1" applyAlignment="1">
      <alignment horizontal="center"/>
    </xf>
    <xf numFmtId="10" fontId="0" fillId="4" borderId="0" xfId="11" applyNumberFormat="1" applyFont="1" applyFill="1"/>
    <xf numFmtId="0" fontId="54" fillId="4" borderId="0" xfId="0" applyFont="1" applyFill="1" applyAlignment="1">
      <alignment horizontal="right"/>
    </xf>
    <xf numFmtId="165" fontId="54" fillId="4" borderId="0" xfId="0" applyNumberFormat="1" applyFont="1" applyFill="1" applyAlignment="1">
      <alignment horizontal="left"/>
    </xf>
    <xf numFmtId="172" fontId="53" fillId="4" borderId="0" xfId="9" applyNumberFormat="1" applyFont="1" applyFill="1" applyAlignment="1">
      <alignment horizontal="left"/>
    </xf>
    <xf numFmtId="2" fontId="41" fillId="0" borderId="6" xfId="11" applyNumberFormat="1" applyFont="1" applyBorder="1" applyAlignment="1">
      <alignment horizontal="center"/>
    </xf>
    <xf numFmtId="2" fontId="41" fillId="0" borderId="6" xfId="9" applyNumberFormat="1" applyFont="1" applyBorder="1" applyAlignment="1">
      <alignment horizontal="center"/>
    </xf>
    <xf numFmtId="1" fontId="41" fillId="0" borderId="6" xfId="9" applyNumberFormat="1" applyFont="1" applyBorder="1" applyAlignment="1">
      <alignment horizontal="center"/>
    </xf>
    <xf numFmtId="0" fontId="34" fillId="0" borderId="0" xfId="0" applyFont="1" applyAlignment="1">
      <alignment horizontal="left"/>
    </xf>
    <xf numFmtId="0" fontId="55" fillId="0" borderId="0" xfId="0" applyFont="1"/>
    <xf numFmtId="1" fontId="55" fillId="0" borderId="0" xfId="0" applyNumberFormat="1" applyFont="1"/>
    <xf numFmtId="173" fontId="55" fillId="0" borderId="0" xfId="0" applyNumberFormat="1" applyFont="1"/>
    <xf numFmtId="0" fontId="55" fillId="0" borderId="0" xfId="0" applyFont="1" applyAlignment="1">
      <alignment horizontal="right"/>
    </xf>
    <xf numFmtId="165" fontId="55" fillId="0" borderId="0" xfId="0" applyNumberFormat="1" applyFont="1"/>
    <xf numFmtId="165" fontId="53" fillId="4" borderId="0" xfId="2" applyNumberFormat="1" applyFont="1" applyFill="1" applyAlignment="1">
      <alignment horizontal="left"/>
    </xf>
    <xf numFmtId="3" fontId="53" fillId="4" borderId="0" xfId="9" applyNumberFormat="1" applyFont="1" applyFill="1" applyAlignment="1">
      <alignment horizontal="left"/>
    </xf>
    <xf numFmtId="0" fontId="56" fillId="4" borderId="0" xfId="0" applyFont="1" applyFill="1" applyAlignment="1">
      <alignment horizontal="right"/>
    </xf>
    <xf numFmtId="0" fontId="56" fillId="4" borderId="0" xfId="0" applyFont="1" applyFill="1" applyAlignment="1">
      <alignment horizontal="center"/>
    </xf>
    <xf numFmtId="6" fontId="0" fillId="0" borderId="0" xfId="0" applyNumberFormat="1"/>
    <xf numFmtId="6" fontId="0" fillId="0" borderId="4" xfId="0" applyNumberFormat="1" applyBorder="1"/>
    <xf numFmtId="0" fontId="41" fillId="0" borderId="0" xfId="0" applyFont="1"/>
    <xf numFmtId="6" fontId="41" fillId="0" borderId="0" xfId="0" applyNumberFormat="1" applyFont="1"/>
    <xf numFmtId="6" fontId="41" fillId="0" borderId="4" xfId="0" applyNumberFormat="1" applyFont="1" applyBorder="1"/>
    <xf numFmtId="6" fontId="41" fillId="0" borderId="3" xfId="0" applyNumberFormat="1" applyFont="1" applyBorder="1"/>
    <xf numFmtId="6" fontId="0" fillId="3" borderId="3" xfId="0" applyNumberFormat="1" applyFill="1" applyBorder="1"/>
    <xf numFmtId="6" fontId="0" fillId="0" borderId="3" xfId="0" applyNumberFormat="1" applyBorder="1"/>
    <xf numFmtId="0" fontId="34" fillId="0" borderId="38" xfId="0" applyFont="1" applyBorder="1"/>
    <xf numFmtId="0" fontId="34" fillId="0" borderId="35" xfId="0" applyFont="1" applyBorder="1"/>
    <xf numFmtId="0" fontId="34" fillId="0" borderId="46" xfId="0" applyFont="1" applyBorder="1"/>
    <xf numFmtId="0" fontId="34" fillId="0" borderId="14" xfId="0" applyFont="1" applyBorder="1"/>
    <xf numFmtId="6" fontId="34" fillId="0" borderId="14" xfId="0" applyNumberFormat="1" applyFont="1" applyBorder="1"/>
    <xf numFmtId="6" fontId="34" fillId="0" borderId="5" xfId="0" applyNumberFormat="1" applyFont="1" applyBorder="1"/>
    <xf numFmtId="6" fontId="34" fillId="0" borderId="6" xfId="0" applyNumberFormat="1" applyFont="1" applyBorder="1"/>
    <xf numFmtId="6" fontId="0" fillId="0" borderId="14" xfId="0" applyNumberFormat="1" applyBorder="1"/>
    <xf numFmtId="6" fontId="0" fillId="0" borderId="5" xfId="0" applyNumberFormat="1" applyBorder="1"/>
    <xf numFmtId="6" fontId="0" fillId="0" borderId="6" xfId="0" applyNumberFormat="1" applyBorder="1"/>
    <xf numFmtId="0" fontId="0" fillId="0" borderId="5" xfId="0" applyBorder="1"/>
    <xf numFmtId="9" fontId="41" fillId="0" borderId="0" xfId="11" applyFont="1"/>
    <xf numFmtId="6" fontId="0" fillId="0" borderId="0" xfId="0" applyNumberFormat="1" applyAlignment="1">
      <alignment horizontal="left"/>
    </xf>
    <xf numFmtId="10" fontId="0" fillId="4" borderId="0" xfId="0" applyNumberFormat="1" applyFill="1"/>
    <xf numFmtId="0" fontId="57" fillId="4" borderId="0" xfId="0" applyFont="1" applyFill="1" applyAlignment="1">
      <alignment horizontal="right"/>
    </xf>
    <xf numFmtId="2" fontId="57" fillId="4" borderId="0" xfId="0" applyNumberFormat="1" applyFont="1" applyFill="1" applyAlignment="1">
      <alignment horizontal="left"/>
    </xf>
    <xf numFmtId="0" fontId="58" fillId="4" borderId="0" xfId="0" applyFont="1" applyFill="1"/>
    <xf numFmtId="2" fontId="59" fillId="4" borderId="0" xfId="0" applyNumberFormat="1" applyFont="1" applyFill="1" applyAlignment="1">
      <alignment horizontal="center"/>
    </xf>
    <xf numFmtId="0" fontId="58" fillId="4" borderId="0" xfId="0" applyFont="1" applyFill="1" applyAlignment="1">
      <alignment horizontal="right"/>
    </xf>
    <xf numFmtId="0" fontId="54" fillId="4" borderId="0" xfId="0" applyFont="1" applyFill="1"/>
    <xf numFmtId="0" fontId="57" fillId="4" borderId="0" xfId="0" applyFont="1" applyFill="1"/>
    <xf numFmtId="1" fontId="51" fillId="0" borderId="1" xfId="9" applyNumberFormat="1" applyFont="1" applyBorder="1" applyAlignment="1">
      <alignment horizontal="center"/>
    </xf>
    <xf numFmtId="1" fontId="9" fillId="5" borderId="1" xfId="0" applyNumberFormat="1" applyFont="1" applyFill="1" applyBorder="1"/>
    <xf numFmtId="0" fontId="33" fillId="0" borderId="0" xfId="0" applyFont="1"/>
    <xf numFmtId="0" fontId="36" fillId="0" borderId="0" xfId="0" applyFont="1" applyAlignment="1">
      <alignment horizontal="center"/>
    </xf>
    <xf numFmtId="173" fontId="33" fillId="0" borderId="0" xfId="0" applyNumberFormat="1" applyFont="1"/>
    <xf numFmtId="165" fontId="33" fillId="0" borderId="0" xfId="0" applyNumberFormat="1" applyFont="1"/>
    <xf numFmtId="173" fontId="36" fillId="0" borderId="0" xfId="0" applyNumberFormat="1" applyFont="1"/>
    <xf numFmtId="165" fontId="36" fillId="0" borderId="0" xfId="0" applyNumberFormat="1" applyFont="1"/>
    <xf numFmtId="0" fontId="36" fillId="0" borderId="0" xfId="0" applyFont="1" applyAlignment="1">
      <alignment horizontal="right"/>
    </xf>
    <xf numFmtId="2" fontId="36" fillId="0" borderId="0" xfId="0" applyNumberFormat="1" applyFont="1" applyAlignment="1">
      <alignment horizontal="left"/>
    </xf>
    <xf numFmtId="0" fontId="41" fillId="0" borderId="0" xfId="0" applyFont="1" applyAlignment="1">
      <alignment horizontal="right"/>
    </xf>
    <xf numFmtId="0" fontId="60" fillId="7" borderId="0" xfId="0" applyFont="1" applyFill="1"/>
    <xf numFmtId="0" fontId="61" fillId="7" borderId="0" xfId="0" applyFont="1" applyFill="1"/>
    <xf numFmtId="0" fontId="62" fillId="4" borderId="0" xfId="0" applyFont="1" applyFill="1"/>
    <xf numFmtId="0" fontId="34" fillId="4" borderId="14" xfId="0" applyFont="1" applyFill="1" applyBorder="1"/>
    <xf numFmtId="0" fontId="63" fillId="4" borderId="14" xfId="0" applyFont="1" applyFill="1" applyBorder="1"/>
    <xf numFmtId="174" fontId="0" fillId="4" borderId="0" xfId="0" applyNumberFormat="1" applyFill="1"/>
    <xf numFmtId="0" fontId="34" fillId="4" borderId="14" xfId="0" applyFont="1" applyFill="1" applyBorder="1" applyAlignment="1">
      <alignment horizontal="right"/>
    </xf>
    <xf numFmtId="0" fontId="60" fillId="0" borderId="0" xfId="0" applyFont="1"/>
    <xf numFmtId="10" fontId="63" fillId="4" borderId="0" xfId="11" applyNumberFormat="1" applyFont="1" applyFill="1"/>
    <xf numFmtId="0" fontId="34" fillId="0" borderId="50" xfId="0" applyFont="1" applyBorder="1" applyAlignment="1">
      <alignment horizontal="right"/>
    </xf>
    <xf numFmtId="0" fontId="34" fillId="0" borderId="50" xfId="0" applyFont="1" applyBorder="1" applyAlignment="1">
      <alignment horizontal="center"/>
    </xf>
    <xf numFmtId="0" fontId="0" fillId="0" borderId="1" xfId="0" applyBorder="1" applyAlignment="1">
      <alignment horizontal="center"/>
    </xf>
    <xf numFmtId="0" fontId="0" fillId="0" borderId="55" xfId="0" applyBorder="1"/>
    <xf numFmtId="0" fontId="0" fillId="0" borderId="34" xfId="0" applyBorder="1" applyAlignment="1">
      <alignment horizontal="center"/>
    </xf>
    <xf numFmtId="0" fontId="0" fillId="0" borderId="56" xfId="0" applyBorder="1"/>
    <xf numFmtId="0" fontId="0" fillId="0" borderId="57" xfId="0" applyBorder="1"/>
    <xf numFmtId="0" fontId="0" fillId="0" borderId="33" xfId="0" applyBorder="1" applyAlignment="1">
      <alignment horizontal="center"/>
    </xf>
    <xf numFmtId="165" fontId="0" fillId="0" borderId="58" xfId="0" applyNumberFormat="1" applyBorder="1"/>
    <xf numFmtId="0" fontId="0" fillId="0" borderId="22" xfId="0" applyBorder="1"/>
    <xf numFmtId="2" fontId="34" fillId="3" borderId="1" xfId="0" applyNumberFormat="1" applyFont="1" applyFill="1" applyBorder="1"/>
    <xf numFmtId="6" fontId="0" fillId="4" borderId="0" xfId="0" applyNumberFormat="1" applyFill="1" applyAlignment="1">
      <alignment horizontal="center"/>
    </xf>
    <xf numFmtId="0" fontId="0" fillId="4" borderId="0" xfId="0" applyFill="1" applyAlignment="1">
      <alignment horizontal="center"/>
    </xf>
    <xf numFmtId="165" fontId="0" fillId="4" borderId="0" xfId="2" applyNumberFormat="1" applyFont="1" applyFill="1" applyAlignment="1">
      <alignment horizontal="center"/>
    </xf>
    <xf numFmtId="9" fontId="0" fillId="4" borderId="0" xfId="11" applyFont="1" applyFill="1" applyAlignment="1">
      <alignment horizontal="center"/>
    </xf>
    <xf numFmtId="2" fontId="34" fillId="4" borderId="0" xfId="0" applyNumberFormat="1" applyFont="1" applyFill="1" applyAlignment="1">
      <alignment horizontal="center"/>
    </xf>
    <xf numFmtId="0" fontId="16" fillId="4" borderId="0" xfId="0" applyFont="1" applyFill="1"/>
    <xf numFmtId="0" fontId="64" fillId="4" borderId="0" xfId="0" applyFont="1" applyFill="1"/>
    <xf numFmtId="9" fontId="16" fillId="4" borderId="0" xfId="11" applyFont="1" applyFill="1" applyAlignment="1">
      <alignment horizontal="center"/>
    </xf>
    <xf numFmtId="9" fontId="64" fillId="4" borderId="0" xfId="11" applyFont="1" applyFill="1" applyAlignment="1">
      <alignment horizontal="center"/>
    </xf>
    <xf numFmtId="0" fontId="0" fillId="4" borderId="14" xfId="0" applyFill="1" applyBorder="1"/>
    <xf numFmtId="0" fontId="34" fillId="0" borderId="48" xfId="0" applyFont="1" applyBorder="1" applyAlignment="1">
      <alignment horizontal="right"/>
    </xf>
    <xf numFmtId="0" fontId="34" fillId="0" borderId="38" xfId="0" applyFont="1" applyBorder="1" applyAlignment="1">
      <alignment horizontal="right"/>
    </xf>
    <xf numFmtId="0" fontId="34" fillId="0" borderId="67" xfId="0" applyFont="1" applyBorder="1"/>
    <xf numFmtId="0" fontId="34" fillId="0" borderId="68" xfId="0" applyFont="1" applyBorder="1" applyAlignment="1">
      <alignment horizontal="right"/>
    </xf>
    <xf numFmtId="0" fontId="34" fillId="0" borderId="68" xfId="0" applyFont="1" applyBorder="1" applyAlignment="1">
      <alignment horizontal="center"/>
    </xf>
    <xf numFmtId="0" fontId="34" fillId="0" borderId="69" xfId="0" applyFont="1" applyBorder="1" applyAlignment="1">
      <alignment horizontal="right"/>
    </xf>
    <xf numFmtId="0" fontId="34" fillId="0" borderId="18" xfId="0" applyFont="1" applyBorder="1" applyAlignment="1">
      <alignment horizontal="center"/>
    </xf>
    <xf numFmtId="0" fontId="34" fillId="0" borderId="70" xfId="0" applyFont="1" applyBorder="1" applyAlignment="1">
      <alignment horizontal="right"/>
    </xf>
    <xf numFmtId="0" fontId="34" fillId="0" borderId="50" xfId="0" applyFont="1" applyBorder="1"/>
    <xf numFmtId="0" fontId="0" fillId="0" borderId="50" xfId="0" applyBorder="1" applyAlignment="1">
      <alignment horizontal="center"/>
    </xf>
    <xf numFmtId="0" fontId="34" fillId="0" borderId="51" xfId="0" applyFont="1" applyBorder="1" applyAlignment="1">
      <alignment horizontal="center"/>
    </xf>
    <xf numFmtId="165" fontId="34" fillId="0" borderId="71" xfId="0" applyNumberFormat="1" applyFont="1" applyBorder="1" applyAlignment="1">
      <alignment horizontal="right"/>
    </xf>
    <xf numFmtId="0" fontId="0" fillId="0" borderId="50" xfId="0" applyBorder="1"/>
    <xf numFmtId="173" fontId="0" fillId="0" borderId="50" xfId="9" applyNumberFormat="1" applyFont="1" applyFill="1" applyBorder="1"/>
    <xf numFmtId="0" fontId="0" fillId="0" borderId="51" xfId="0" applyBorder="1"/>
    <xf numFmtId="165" fontId="34" fillId="0" borderId="71" xfId="0" applyNumberFormat="1" applyFont="1" applyBorder="1"/>
    <xf numFmtId="165" fontId="0" fillId="0" borderId="0" xfId="0" applyNumberFormat="1" applyAlignment="1">
      <alignment horizontal="left"/>
    </xf>
    <xf numFmtId="0" fontId="34" fillId="0" borderId="9" xfId="0" applyFont="1" applyBorder="1" applyAlignment="1">
      <alignment horizontal="right"/>
    </xf>
    <xf numFmtId="0" fontId="34" fillId="0" borderId="10" xfId="0" applyFont="1" applyBorder="1" applyAlignment="1">
      <alignment horizontal="right"/>
    </xf>
    <xf numFmtId="0" fontId="0" fillId="0" borderId="21" xfId="0" applyBorder="1"/>
    <xf numFmtId="173" fontId="0" fillId="0" borderId="21" xfId="9" applyNumberFormat="1" applyFont="1" applyFill="1" applyBorder="1"/>
    <xf numFmtId="0" fontId="0" fillId="0" borderId="21" xfId="0" applyBorder="1" applyAlignment="1">
      <alignment horizontal="center"/>
    </xf>
    <xf numFmtId="165" fontId="34" fillId="0" borderId="59" xfId="0" applyNumberFormat="1" applyFont="1" applyBorder="1"/>
    <xf numFmtId="165" fontId="34" fillId="0" borderId="72" xfId="0" applyNumberFormat="1" applyFont="1" applyBorder="1"/>
    <xf numFmtId="165" fontId="34" fillId="0" borderId="73" xfId="0" applyNumberFormat="1" applyFont="1" applyBorder="1"/>
    <xf numFmtId="43" fontId="0" fillId="0" borderId="1" xfId="9" applyFont="1" applyBorder="1"/>
    <xf numFmtId="0" fontId="0" fillId="0" borderId="41" xfId="0" applyBorder="1"/>
    <xf numFmtId="173" fontId="0" fillId="0" borderId="20" xfId="9" applyNumberFormat="1" applyFont="1" applyBorder="1"/>
    <xf numFmtId="0" fontId="0" fillId="0" borderId="20" xfId="0" applyBorder="1" applyAlignment="1">
      <alignment horizontal="center"/>
    </xf>
    <xf numFmtId="165" fontId="0" fillId="0" borderId="20" xfId="0" applyNumberFormat="1" applyBorder="1"/>
    <xf numFmtId="165" fontId="0" fillId="0" borderId="2" xfId="0" applyNumberFormat="1" applyBorder="1"/>
    <xf numFmtId="165" fontId="34" fillId="0" borderId="74" xfId="0" applyNumberFormat="1" applyFont="1" applyBorder="1"/>
    <xf numFmtId="165" fontId="34" fillId="0" borderId="75" xfId="0" applyNumberFormat="1" applyFont="1" applyBorder="1"/>
    <xf numFmtId="0" fontId="39" fillId="15" borderId="9" xfId="0" applyFont="1" applyFill="1" applyBorder="1"/>
    <xf numFmtId="0" fontId="39" fillId="15" borderId="0" xfId="0" applyFont="1" applyFill="1"/>
    <xf numFmtId="165" fontId="0" fillId="0" borderId="59" xfId="0" applyNumberFormat="1" applyBorder="1"/>
    <xf numFmtId="0" fontId="34" fillId="0" borderId="47" xfId="0" applyFont="1" applyBorder="1"/>
    <xf numFmtId="0" fontId="0" fillId="0" borderId="48" xfId="0" applyBorder="1"/>
    <xf numFmtId="0" fontId="34" fillId="0" borderId="71" xfId="0" applyFont="1" applyBorder="1" applyAlignment="1">
      <alignment horizontal="center"/>
    </xf>
    <xf numFmtId="0" fontId="34" fillId="0" borderId="49" xfId="0" applyFont="1" applyBorder="1" applyAlignment="1">
      <alignment horizontal="center"/>
    </xf>
    <xf numFmtId="0" fontId="34" fillId="0" borderId="52" xfId="0" applyFont="1" applyBorder="1" applyAlignment="1">
      <alignment horizontal="center"/>
    </xf>
    <xf numFmtId="165" fontId="0" fillId="0" borderId="76" xfId="0" applyNumberFormat="1" applyBorder="1" applyAlignment="1">
      <alignment horizontal="right"/>
    </xf>
    <xf numFmtId="175" fontId="0" fillId="0" borderId="44" xfId="0" applyNumberFormat="1" applyBorder="1"/>
    <xf numFmtId="165" fontId="0" fillId="0" borderId="76" xfId="0" applyNumberFormat="1" applyBorder="1"/>
    <xf numFmtId="175" fontId="0" fillId="0" borderId="60" xfId="0" applyNumberFormat="1" applyBorder="1"/>
    <xf numFmtId="165" fontId="0" fillId="0" borderId="73" xfId="0" applyNumberFormat="1" applyBorder="1" applyAlignment="1">
      <alignment horizontal="right"/>
    </xf>
    <xf numFmtId="165" fontId="0" fillId="0" borderId="56" xfId="0" applyNumberFormat="1" applyBorder="1"/>
    <xf numFmtId="164" fontId="0" fillId="0" borderId="1" xfId="0" applyNumberFormat="1" applyBorder="1"/>
    <xf numFmtId="165" fontId="0" fillId="0" borderId="73" xfId="0" applyNumberFormat="1" applyBorder="1"/>
    <xf numFmtId="165" fontId="0" fillId="0" borderId="54" xfId="0" applyNumberFormat="1" applyBorder="1"/>
    <xf numFmtId="165" fontId="0" fillId="0" borderId="61" xfId="0" applyNumberFormat="1" applyBorder="1" applyAlignment="1">
      <alignment horizontal="right"/>
    </xf>
    <xf numFmtId="165" fontId="0" fillId="0" borderId="42" xfId="0" applyNumberFormat="1" applyBorder="1"/>
    <xf numFmtId="165" fontId="0" fillId="0" borderId="40" xfId="0" applyNumberFormat="1" applyBorder="1"/>
    <xf numFmtId="165" fontId="0" fillId="0" borderId="61" xfId="0" applyNumberFormat="1" applyBorder="1"/>
    <xf numFmtId="165" fontId="0" fillId="0" borderId="12" xfId="0" applyNumberFormat="1" applyBorder="1"/>
    <xf numFmtId="165" fontId="34" fillId="0" borderId="49" xfId="0" applyNumberFormat="1" applyFont="1" applyBorder="1"/>
    <xf numFmtId="165" fontId="34" fillId="0" borderId="50" xfId="0" applyNumberFormat="1" applyFont="1" applyBorder="1"/>
    <xf numFmtId="165" fontId="34" fillId="0" borderId="52" xfId="0" applyNumberFormat="1" applyFont="1" applyBorder="1"/>
    <xf numFmtId="171" fontId="10" fillId="0" borderId="0" xfId="11" applyNumberFormat="1" applyFont="1" applyFill="1" applyBorder="1"/>
    <xf numFmtId="2" fontId="0" fillId="4" borderId="0" xfId="0" applyNumberFormat="1" applyFill="1"/>
    <xf numFmtId="2" fontId="58" fillId="4" borderId="0" xfId="0" applyNumberFormat="1" applyFont="1" applyFill="1"/>
    <xf numFmtId="0" fontId="10" fillId="0" borderId="0" xfId="0" applyFont="1" applyAlignment="1">
      <alignment horizontal="left"/>
    </xf>
    <xf numFmtId="0" fontId="22" fillId="16" borderId="5" xfId="0" applyFont="1" applyFill="1" applyBorder="1" applyAlignment="1">
      <alignment horizontal="center" vertical="center" wrapText="1"/>
    </xf>
    <xf numFmtId="0" fontId="22" fillId="16" borderId="14" xfId="0" applyFont="1" applyFill="1" applyBorder="1" applyAlignment="1">
      <alignment horizontal="center" vertical="center" wrapText="1"/>
    </xf>
    <xf numFmtId="0" fontId="22" fillId="9" borderId="1" xfId="0" applyFont="1" applyFill="1" applyBorder="1" applyAlignment="1">
      <alignment vertic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28" xfId="0" applyFont="1" applyBorder="1" applyAlignment="1">
      <alignment horizontal="left" vertical="top" wrapText="1"/>
    </xf>
    <xf numFmtId="0" fontId="2" fillId="0" borderId="12" xfId="0" applyFont="1" applyBorder="1" applyAlignment="1">
      <alignment horizontal="left" vertical="top" wrapText="1"/>
    </xf>
    <xf numFmtId="0" fontId="2" fillId="0" borderId="3" xfId="0" applyFont="1" applyBorder="1" applyAlignment="1">
      <alignment vertical="top" wrapText="1"/>
    </xf>
    <xf numFmtId="0" fontId="2" fillId="0" borderId="4" xfId="0" applyFont="1" applyBorder="1" applyAlignment="1">
      <alignment vertical="top" wrapText="1"/>
    </xf>
    <xf numFmtId="0" fontId="2" fillId="0" borderId="5" xfId="0" applyFont="1" applyBorder="1" applyAlignment="1">
      <alignment vertical="top" wrapText="1"/>
    </xf>
    <xf numFmtId="0" fontId="2" fillId="0" borderId="6" xfId="0" applyFont="1" applyBorder="1" applyAlignment="1">
      <alignmen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3" xfId="0" applyFont="1" applyBorder="1" applyAlignment="1">
      <alignment horizontal="left" vertical="top"/>
    </xf>
    <xf numFmtId="0" fontId="2" fillId="0" borderId="0" xfId="0" applyFont="1" applyAlignment="1">
      <alignment horizontal="left" vertical="top"/>
    </xf>
    <xf numFmtId="0" fontId="2" fillId="0" borderId="4" xfId="0" applyFont="1" applyBorder="1" applyAlignment="1">
      <alignment horizontal="left" vertical="top"/>
    </xf>
    <xf numFmtId="0" fontId="2" fillId="0" borderId="5" xfId="0" applyFont="1" applyBorder="1" applyAlignment="1">
      <alignment horizontal="left" vertical="top"/>
    </xf>
    <xf numFmtId="0" fontId="2" fillId="0" borderId="14" xfId="0" applyFont="1" applyBorder="1" applyAlignment="1">
      <alignment horizontal="left" vertical="top"/>
    </xf>
    <xf numFmtId="0" fontId="2" fillId="0" borderId="6" xfId="0" applyFont="1" applyBorder="1" applyAlignment="1">
      <alignment horizontal="left" vertical="top"/>
    </xf>
    <xf numFmtId="0" fontId="2" fillId="0" borderId="14" xfId="0" applyFont="1" applyBorder="1" applyAlignment="1">
      <alignment horizontal="left" vertical="center" wrapText="1"/>
    </xf>
    <xf numFmtId="0" fontId="2" fillId="0" borderId="6" xfId="0" applyFont="1" applyBorder="1" applyAlignment="1">
      <alignment horizontal="left" vertical="center" wrapText="1"/>
    </xf>
    <xf numFmtId="0" fontId="23" fillId="9" borderId="15" xfId="0" applyFont="1" applyFill="1" applyBorder="1" applyAlignment="1">
      <alignment horizontal="center" vertical="center"/>
    </xf>
    <xf numFmtId="0" fontId="23" fillId="9" borderId="16" xfId="0" applyFont="1" applyFill="1" applyBorder="1" applyAlignment="1">
      <alignment horizontal="center" vertical="center"/>
    </xf>
    <xf numFmtId="0" fontId="23" fillId="9" borderId="17" xfId="0" applyFont="1" applyFill="1" applyBorder="1" applyAlignment="1">
      <alignment horizontal="center" vertical="center"/>
    </xf>
    <xf numFmtId="0" fontId="2" fillId="0" borderId="14" xfId="0" applyFont="1" applyBorder="1" applyAlignment="1">
      <alignment horizontal="left" vertical="top" wrapText="1"/>
    </xf>
    <xf numFmtId="0" fontId="23" fillId="9" borderId="1" xfId="0" applyFont="1" applyFill="1" applyBorder="1" applyAlignment="1">
      <alignment vertical="center" wrapText="1"/>
    </xf>
    <xf numFmtId="0" fontId="23" fillId="9" borderId="1" xfId="0" applyFont="1" applyFill="1" applyBorder="1" applyAlignment="1">
      <alignment horizontal="center" vertical="center" wrapText="1"/>
    </xf>
    <xf numFmtId="0" fontId="2" fillId="0" borderId="0" xfId="0" applyFont="1" applyAlignment="1">
      <alignment horizontal="left" vertical="top" wrapText="1"/>
    </xf>
    <xf numFmtId="0" fontId="23" fillId="9" borderId="5" xfId="0" applyFont="1" applyFill="1" applyBorder="1" applyAlignment="1">
      <alignment horizontal="center" vertical="center" wrapText="1"/>
    </xf>
    <xf numFmtId="0" fontId="23" fillId="9" borderId="14" xfId="0" applyFont="1" applyFill="1" applyBorder="1" applyAlignment="1">
      <alignment horizontal="center" vertical="center" wrapText="1"/>
    </xf>
    <xf numFmtId="0" fontId="23" fillId="9" borderId="6" xfId="0" applyFont="1" applyFill="1" applyBorder="1" applyAlignment="1">
      <alignment horizontal="center" vertical="center" wrapText="1"/>
    </xf>
    <xf numFmtId="49" fontId="23" fillId="9" borderId="20" xfId="0" applyNumberFormat="1" applyFont="1" applyFill="1" applyBorder="1" applyAlignment="1">
      <alignment horizontal="left" vertical="center" wrapText="1"/>
    </xf>
    <xf numFmtId="49" fontId="23" fillId="9" borderId="22" xfId="0" applyNumberFormat="1" applyFont="1" applyFill="1" applyBorder="1" applyAlignment="1">
      <alignment horizontal="left" vertical="center" wrapText="1"/>
    </xf>
    <xf numFmtId="0" fontId="2" fillId="0" borderId="10" xfId="0" applyFont="1" applyBorder="1" applyAlignment="1">
      <alignment horizontal="left" vertical="top" wrapText="1"/>
    </xf>
    <xf numFmtId="0" fontId="2" fillId="0" borderId="13" xfId="0" applyFont="1" applyBorder="1" applyAlignment="1">
      <alignment horizontal="left" vertical="center" wrapText="1"/>
    </xf>
    <xf numFmtId="0" fontId="2" fillId="0" borderId="23" xfId="0" applyFont="1" applyBorder="1" applyAlignment="1">
      <alignment horizontal="left" vertical="center" wrapText="1"/>
    </xf>
    <xf numFmtId="0" fontId="34" fillId="0" borderId="20" xfId="0" applyFont="1" applyBorder="1" applyAlignment="1">
      <alignment horizontal="center" wrapText="1"/>
    </xf>
    <xf numFmtId="0" fontId="34" fillId="0" borderId="40" xfId="0" applyFont="1" applyBorder="1" applyAlignment="1">
      <alignment horizontal="center" wrapText="1"/>
    </xf>
    <xf numFmtId="0" fontId="34" fillId="0" borderId="13" xfId="0" applyFont="1" applyBorder="1" applyAlignment="1">
      <alignment horizontal="center" wrapText="1"/>
    </xf>
    <xf numFmtId="0" fontId="34" fillId="0" borderId="19" xfId="0" applyFont="1" applyBorder="1" applyAlignment="1">
      <alignment horizontal="center" wrapText="1"/>
    </xf>
    <xf numFmtId="0" fontId="34" fillId="0" borderId="23" xfId="0" applyFont="1" applyBorder="1" applyAlignment="1">
      <alignment horizontal="center" wrapText="1"/>
    </xf>
    <xf numFmtId="0" fontId="34" fillId="0" borderId="39" xfId="0" applyFont="1" applyBorder="1" applyAlignment="1">
      <alignment horizontal="center" wrapText="1"/>
    </xf>
    <xf numFmtId="0" fontId="34" fillId="0" borderId="15" xfId="0" applyFont="1" applyBorder="1" applyAlignment="1">
      <alignment horizontal="center" wrapText="1"/>
    </xf>
    <xf numFmtId="0" fontId="34" fillId="0" borderId="17" xfId="0" applyFont="1" applyBorder="1" applyAlignment="1">
      <alignment horizontal="center" wrapText="1"/>
    </xf>
    <xf numFmtId="0" fontId="34" fillId="0" borderId="2" xfId="0" applyFont="1" applyBorder="1" applyAlignment="1">
      <alignment horizontal="center" wrapText="1"/>
    </xf>
    <xf numFmtId="0" fontId="34" fillId="0" borderId="28" xfId="0" applyFont="1" applyBorder="1" applyAlignment="1">
      <alignment horizontal="center" wrapText="1"/>
    </xf>
    <xf numFmtId="0" fontId="15" fillId="7" borderId="15" xfId="0" applyFont="1" applyFill="1" applyBorder="1" applyAlignment="1">
      <alignment horizontal="center"/>
    </xf>
    <xf numFmtId="0" fontId="15" fillId="7" borderId="17" xfId="0" applyFont="1" applyFill="1" applyBorder="1" applyAlignment="1">
      <alignment horizontal="center"/>
    </xf>
    <xf numFmtId="0" fontId="15" fillId="7" borderId="16" xfId="0" applyFont="1" applyFill="1" applyBorder="1" applyAlignment="1">
      <alignment horizontal="center"/>
    </xf>
    <xf numFmtId="0" fontId="10" fillId="0" borderId="38" xfId="0" applyFont="1" applyBorder="1" applyAlignment="1">
      <alignment horizontal="center"/>
    </xf>
    <xf numFmtId="0" fontId="50" fillId="0" borderId="38" xfId="0" applyFont="1" applyBorder="1" applyAlignment="1">
      <alignment horizontal="center"/>
    </xf>
    <xf numFmtId="0" fontId="49" fillId="0" borderId="20" xfId="0" applyFont="1" applyBorder="1" applyAlignment="1">
      <alignment horizontal="left"/>
    </xf>
    <xf numFmtId="0" fontId="49" fillId="0" borderId="40" xfId="0" applyFont="1" applyBorder="1" applyAlignment="1">
      <alignment horizontal="left"/>
    </xf>
    <xf numFmtId="0" fontId="49" fillId="0" borderId="20" xfId="0" applyFont="1" applyBorder="1" applyAlignment="1">
      <alignment horizontal="center" wrapText="1"/>
    </xf>
    <xf numFmtId="0" fontId="49" fillId="0" borderId="40" xfId="0" applyFont="1" applyBorder="1" applyAlignment="1">
      <alignment horizontal="center" wrapText="1"/>
    </xf>
    <xf numFmtId="0" fontId="49" fillId="0" borderId="2" xfId="0" applyFont="1" applyBorder="1" applyAlignment="1">
      <alignment horizontal="center" wrapText="1"/>
    </xf>
    <xf numFmtId="0" fontId="49" fillId="0" borderId="28" xfId="0" applyFont="1" applyBorder="1" applyAlignment="1">
      <alignment horizontal="center" wrapText="1"/>
    </xf>
    <xf numFmtId="0" fontId="49" fillId="0" borderId="45" xfId="0" applyFont="1" applyBorder="1" applyAlignment="1">
      <alignment horizontal="center" wrapText="1"/>
    </xf>
    <xf numFmtId="0" fontId="49" fillId="0" borderId="11" xfId="0" applyFont="1" applyBorder="1" applyAlignment="1">
      <alignment horizontal="center" wrapText="1"/>
    </xf>
    <xf numFmtId="0" fontId="34" fillId="0" borderId="53" xfId="0" applyFont="1" applyBorder="1" applyAlignment="1">
      <alignment horizontal="left"/>
    </xf>
    <xf numFmtId="0" fontId="34" fillId="0" borderId="16" xfId="0" applyFont="1" applyBorder="1" applyAlignment="1">
      <alignment horizontal="left"/>
    </xf>
    <xf numFmtId="0" fontId="34" fillId="0" borderId="63" xfId="0" applyFont="1" applyBorder="1" applyAlignment="1">
      <alignment horizontal="left"/>
    </xf>
    <xf numFmtId="0" fontId="34" fillId="0" borderId="64" xfId="0" applyFont="1" applyBorder="1" applyAlignment="1">
      <alignment horizontal="left"/>
    </xf>
    <xf numFmtId="0" fontId="55" fillId="0" borderId="63" xfId="0" applyFont="1" applyBorder="1" applyAlignment="1">
      <alignment horizontal="right"/>
    </xf>
    <xf numFmtId="0" fontId="55" fillId="0" borderId="64" xfId="0" applyFont="1" applyBorder="1" applyAlignment="1">
      <alignment horizontal="right"/>
    </xf>
    <xf numFmtId="0" fontId="55" fillId="0" borderId="65" xfId="0" applyFont="1" applyBorder="1" applyAlignment="1">
      <alignment horizontal="right"/>
    </xf>
    <xf numFmtId="0" fontId="34" fillId="0" borderId="47" xfId="0" applyFont="1" applyBorder="1" applyAlignment="1">
      <alignment horizontal="right"/>
    </xf>
    <xf numFmtId="0" fontId="34" fillId="0" borderId="48" xfId="0" applyFont="1" applyBorder="1" applyAlignment="1">
      <alignment horizontal="right"/>
    </xf>
    <xf numFmtId="0" fontId="34" fillId="0" borderId="66" xfId="0" applyFont="1" applyBorder="1" applyAlignment="1">
      <alignment horizontal="right"/>
    </xf>
    <xf numFmtId="0" fontId="34" fillId="0" borderId="36" xfId="0" applyFont="1" applyBorder="1" applyAlignment="1">
      <alignment horizontal="left"/>
    </xf>
    <xf numFmtId="0" fontId="34" fillId="0" borderId="14" xfId="0" applyFont="1" applyBorder="1" applyAlignment="1">
      <alignment horizontal="left"/>
    </xf>
    <xf numFmtId="0" fontId="34" fillId="0" borderId="62" xfId="0" applyFont="1" applyBorder="1" applyAlignment="1">
      <alignment horizontal="right"/>
    </xf>
    <xf numFmtId="0" fontId="34" fillId="0" borderId="38" xfId="0" applyFont="1" applyBorder="1" applyAlignment="1">
      <alignment horizontal="right"/>
    </xf>
    <xf numFmtId="0" fontId="34" fillId="0" borderId="7" xfId="0" applyFont="1" applyBorder="1" applyAlignment="1">
      <alignment horizontal="right"/>
    </xf>
    <xf numFmtId="0" fontId="34" fillId="0" borderId="18" xfId="0" applyFont="1" applyBorder="1" applyAlignment="1">
      <alignment horizontal="right"/>
    </xf>
    <xf numFmtId="0" fontId="34" fillId="0" borderId="7" xfId="0" applyFont="1" applyBorder="1" applyAlignment="1">
      <alignment horizontal="right" vertical="center"/>
    </xf>
    <xf numFmtId="0" fontId="34" fillId="0" borderId="18" xfId="0" applyFont="1" applyBorder="1" applyAlignment="1">
      <alignment horizontal="right" vertical="center"/>
    </xf>
    <xf numFmtId="0" fontId="34" fillId="0" borderId="9" xfId="0" applyFont="1" applyBorder="1" applyAlignment="1">
      <alignment horizontal="right" vertical="center"/>
    </xf>
    <xf numFmtId="0" fontId="34" fillId="0" borderId="0" xfId="0" applyFont="1" applyAlignment="1">
      <alignment horizontal="right" vertical="center"/>
    </xf>
    <xf numFmtId="0" fontId="34" fillId="0" borderId="11" xfId="0" applyFont="1" applyBorder="1" applyAlignment="1">
      <alignment horizontal="right" vertical="center"/>
    </xf>
    <xf numFmtId="0" fontId="34" fillId="0" borderId="19" xfId="0" applyFont="1" applyBorder="1" applyAlignment="1">
      <alignment horizontal="right" vertical="center"/>
    </xf>
    <xf numFmtId="0" fontId="39" fillId="15" borderId="0" xfId="0" applyFont="1" applyFill="1" applyAlignment="1">
      <alignment horizontal="center"/>
    </xf>
    <xf numFmtId="0" fontId="39" fillId="15" borderId="10" xfId="0" applyFont="1" applyFill="1" applyBorder="1" applyAlignment="1">
      <alignment horizontal="center"/>
    </xf>
    <xf numFmtId="0" fontId="34" fillId="0" borderId="19" xfId="0" applyFont="1" applyBorder="1" applyAlignment="1">
      <alignment horizontal="center"/>
    </xf>
    <xf numFmtId="0" fontId="34" fillId="0" borderId="39" xfId="0" applyFont="1" applyBorder="1" applyAlignment="1">
      <alignment horizontal="center"/>
    </xf>
    <xf numFmtId="0" fontId="34" fillId="0" borderId="28" xfId="0" applyFont="1" applyBorder="1" applyAlignment="1">
      <alignment horizontal="center"/>
    </xf>
    <xf numFmtId="0" fontId="15" fillId="16" borderId="0" xfId="0" applyFont="1" applyFill="1" applyAlignment="1">
      <alignment horizontal="center"/>
    </xf>
    <xf numFmtId="0" fontId="15" fillId="16" borderId="4" xfId="0" applyFont="1" applyFill="1" applyBorder="1" applyAlignment="1">
      <alignment horizontal="center"/>
    </xf>
    <xf numFmtId="0" fontId="15" fillId="17" borderId="3" xfId="0" applyFont="1" applyFill="1" applyBorder="1" applyAlignment="1">
      <alignment horizontal="center"/>
    </xf>
    <xf numFmtId="0" fontId="15" fillId="17" borderId="0" xfId="0" applyFont="1" applyFill="1" applyAlignment="1">
      <alignment horizontal="center"/>
    </xf>
    <xf numFmtId="0" fontId="10" fillId="0" borderId="14" xfId="0" applyFont="1" applyBorder="1" applyAlignment="1">
      <alignment horizontal="center"/>
    </xf>
    <xf numFmtId="0" fontId="49" fillId="0" borderId="77" xfId="0" applyFont="1" applyBorder="1" applyAlignment="1">
      <alignment horizontal="center" wrapText="1"/>
    </xf>
    <xf numFmtId="0" fontId="49" fillId="0" borderId="78" xfId="0" applyFont="1" applyBorder="1" applyAlignment="1">
      <alignment horizontal="center" wrapText="1"/>
    </xf>
    <xf numFmtId="0" fontId="49" fillId="0" borderId="41" xfId="0" applyFont="1" applyBorder="1" applyAlignment="1">
      <alignment horizontal="center" wrapText="1"/>
    </xf>
    <xf numFmtId="0" fontId="49" fillId="0" borderId="42" xfId="0" applyFont="1" applyBorder="1" applyAlignment="1">
      <alignment horizontal="center" wrapText="1"/>
    </xf>
    <xf numFmtId="0" fontId="50" fillId="0" borderId="18" xfId="0" applyFont="1" applyBorder="1" applyAlignment="1">
      <alignment horizontal="center"/>
    </xf>
    <xf numFmtId="0" fontId="48" fillId="4" borderId="3" xfId="0" applyFont="1" applyFill="1" applyBorder="1" applyAlignment="1">
      <alignment horizontal="center" wrapText="1"/>
    </xf>
    <xf numFmtId="0" fontId="48" fillId="4" borderId="0" xfId="0" applyFont="1" applyFill="1" applyAlignment="1">
      <alignment horizontal="center" wrapText="1"/>
    </xf>
    <xf numFmtId="0" fontId="41" fillId="4" borderId="5" xfId="0" applyFont="1" applyFill="1" applyBorder="1" applyAlignment="1">
      <alignment horizontal="center"/>
    </xf>
    <xf numFmtId="0" fontId="41" fillId="4" borderId="14" xfId="0" applyFont="1" applyFill="1" applyBorder="1" applyAlignment="1">
      <alignment horizontal="center"/>
    </xf>
  </cellXfs>
  <cellStyles count="14">
    <cellStyle name="Comma" xfId="9" builtinId="3"/>
    <cellStyle name="Currency" xfId="2" builtinId="4"/>
    <cellStyle name="Currency 2" xfId="13" xr:uid="{5C8933A4-1580-4228-BF9E-5AE5FB5E7391}"/>
    <cellStyle name="Heading 1" xfId="3" builtinId="16"/>
    <cellStyle name="Heading 2" xfId="4" builtinId="17"/>
    <cellStyle name="Heading 4" xfId="5" builtinId="19"/>
    <cellStyle name="Hyperlink" xfId="1" builtinId="8"/>
    <cellStyle name="Hyperlink 2" xfId="7" xr:uid="{304C8883-2D05-433A-93CD-BB7137A396C1}"/>
    <cellStyle name="Normal" xfId="0" builtinId="0"/>
    <cellStyle name="Normal 2" xfId="12" xr:uid="{DFF872CC-264A-40C1-B294-3E002887541D}"/>
    <cellStyle name="Normal 2 2" xfId="10" xr:uid="{F1015652-885B-42CC-BB76-09EE34F03C7F}"/>
    <cellStyle name="Normal 7" xfId="6" xr:uid="{39C09B7B-9AFF-4A61-96F1-6C02C073A05F}"/>
    <cellStyle name="Note" xfId="8" builtinId="10"/>
    <cellStyle name="Percent" xfId="11" builtinId="5"/>
  </cellStyles>
  <dxfs count="21">
    <dxf>
      <font>
        <b val="0"/>
        <i/>
      </font>
    </dxf>
    <dxf>
      <font>
        <b val="0"/>
        <i val="0"/>
        <u val="none"/>
      </font>
      <fill>
        <patternFill>
          <bgColor theme="0" tint="-0.24994659260841701"/>
        </patternFill>
      </fill>
    </dxf>
    <dxf>
      <font>
        <b val="0"/>
        <i val="0"/>
        <u val="none"/>
      </font>
      <fill>
        <patternFill>
          <bgColor theme="0" tint="-0.24994659260841701"/>
        </patternFill>
      </fill>
    </dxf>
    <dxf>
      <font>
        <b val="0"/>
        <i val="0"/>
        <u val="none"/>
      </font>
      <fill>
        <patternFill>
          <bgColor theme="0" tint="-0.24994659260841701"/>
        </patternFill>
      </fill>
    </dxf>
    <dxf>
      <font>
        <b val="0"/>
        <i val="0"/>
        <u val="none"/>
      </font>
      <fill>
        <patternFill>
          <bgColor theme="0" tint="-0.24994659260841701"/>
        </patternFill>
      </fill>
    </dxf>
    <dxf>
      <font>
        <b val="0"/>
        <i/>
        <u val="none"/>
      </font>
      <fill>
        <patternFill>
          <bgColor theme="4" tint="0.39994506668294322"/>
        </patternFill>
      </fill>
    </dxf>
    <dxf>
      <font>
        <b val="0"/>
        <i val="0"/>
        <u val="none"/>
      </font>
      <fill>
        <patternFill>
          <bgColor theme="0" tint="-0.24994659260841701"/>
        </patternFill>
      </fill>
    </dxf>
    <dxf>
      <font>
        <b val="0"/>
        <i val="0"/>
        <u val="none"/>
      </font>
      <fill>
        <patternFill>
          <bgColor theme="0" tint="-0.24994659260841701"/>
        </patternFill>
      </fill>
    </dxf>
    <dxf>
      <font>
        <b val="0"/>
        <i val="0"/>
        <u val="none"/>
      </font>
      <fill>
        <patternFill>
          <bgColor theme="0" tint="-0.24994659260841701"/>
        </patternFill>
      </fill>
    </dxf>
    <dxf>
      <font>
        <b val="0"/>
        <i val="0"/>
        <u val="none"/>
      </font>
      <fill>
        <patternFill>
          <bgColor theme="0" tint="-0.24994659260841701"/>
        </patternFill>
      </fill>
    </dxf>
    <dxf>
      <font>
        <b val="0"/>
        <i val="0"/>
        <u val="none"/>
      </font>
      <fill>
        <patternFill>
          <bgColor theme="0" tint="-0.24994659260841701"/>
        </patternFill>
      </fill>
    </dxf>
    <dxf>
      <font>
        <b val="0"/>
        <i val="0"/>
        <u val="none"/>
      </font>
      <fill>
        <patternFill>
          <bgColor theme="0" tint="-0.24994659260841701"/>
        </patternFill>
      </fill>
    </dxf>
    <dxf>
      <font>
        <b val="0"/>
        <i val="0"/>
        <u val="none"/>
      </font>
      <fill>
        <patternFill>
          <bgColor theme="0" tint="-0.24994659260841701"/>
        </patternFill>
      </fill>
    </dxf>
    <dxf>
      <font>
        <b val="0"/>
        <i val="0"/>
        <u val="none"/>
      </font>
      <fill>
        <patternFill>
          <bgColor theme="0" tint="-0.24994659260841701"/>
        </patternFill>
      </fill>
    </dxf>
    <dxf>
      <font>
        <b val="0"/>
        <i val="0"/>
        <u val="none"/>
      </font>
      <fill>
        <patternFill>
          <bgColor theme="0" tint="-0.24994659260841701"/>
        </patternFill>
      </fill>
    </dxf>
    <dxf>
      <font>
        <b val="0"/>
        <i val="0"/>
        <u val="none"/>
      </font>
      <fill>
        <patternFill>
          <bgColor theme="0" tint="-0.24994659260841701"/>
        </patternFill>
      </fill>
    </dxf>
    <dxf>
      <font>
        <b val="0"/>
        <i val="0"/>
        <u val="none"/>
      </font>
      <fill>
        <patternFill>
          <bgColor theme="0" tint="-0.24994659260841701"/>
        </patternFill>
      </fill>
    </dxf>
    <dxf>
      <font>
        <b val="0"/>
        <i val="0"/>
        <u val="none"/>
      </font>
      <fill>
        <patternFill>
          <bgColor theme="0" tint="-0.24994659260841701"/>
        </patternFill>
      </fill>
    </dxf>
    <dxf>
      <font>
        <b val="0"/>
        <i val="0"/>
        <u val="none"/>
      </font>
      <fill>
        <patternFill>
          <bgColor theme="0" tint="-0.24994659260841701"/>
        </patternFill>
      </fill>
    </dxf>
    <dxf>
      <font>
        <b val="0"/>
        <i val="0"/>
        <u val="none"/>
      </font>
      <fill>
        <patternFill>
          <bgColor theme="0" tint="-0.24994659260841701"/>
        </patternFill>
      </fill>
    </dxf>
    <dxf>
      <font>
        <b val="0"/>
        <i val="0"/>
        <strike val="0"/>
        <u val="none"/>
      </font>
      <fill>
        <patternFill>
          <bgColor rgb="FFBFBFBF"/>
        </patternFill>
      </fill>
    </dxf>
  </dxfs>
  <tableStyles count="0" defaultTableStyle="TableStyleMedium2" defaultPivotStyle="PivotStyleLight16"/>
  <colors>
    <mruColors>
      <color rgb="FF1F497D"/>
      <color rgb="FFA9D08E"/>
      <color rgb="FFFFFFCC"/>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solidFill>
                  <a:schemeClr val="tx1"/>
                </a:solidFill>
                <a:latin typeface="Aptos" panose="020B0004020202020204" pitchFamily="34" charset="0"/>
              </a:rPr>
              <a:t>Benefit Categories</a:t>
            </a:r>
          </a:p>
        </c:rich>
      </c:tx>
      <c:layout>
        <c:manualLayout>
          <c:xMode val="edge"/>
          <c:yMode val="edge"/>
          <c:x val="0.33961035038424553"/>
          <c:y val="5.7033050877523094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114945879881526"/>
          <c:y val="0.15123343527013253"/>
          <c:w val="0.41753077683512191"/>
          <c:h val="0.69777777777777772"/>
        </c:manualLayout>
      </c:layout>
      <c:barChart>
        <c:barDir val="bar"/>
        <c:grouping val="clustered"/>
        <c:varyColors val="0"/>
        <c:ser>
          <c:idx val="0"/>
          <c:order val="0"/>
          <c:tx>
            <c:strRef>
              <c:f>Summary!$C$5</c:f>
              <c:strCache>
                <c:ptCount val="1"/>
                <c:pt idx="0">
                  <c:v>Safety</c:v>
                </c:pt>
              </c:strCache>
            </c:strRef>
          </c:tx>
          <c:spPr>
            <a:solidFill>
              <a:srgbClr val="FF0000"/>
            </a:solidFill>
            <a:ln w="19050">
              <a:solidFill>
                <a:schemeClr val="lt1"/>
              </a:solidFill>
            </a:ln>
            <a:effectLst/>
          </c:spPr>
          <c:invertIfNegative val="0"/>
          <c:dPt>
            <c:idx val="0"/>
            <c:invertIfNegative val="0"/>
            <c:bubble3D val="0"/>
            <c:spPr>
              <a:solidFill>
                <a:srgbClr val="FF0000"/>
              </a:solidFill>
              <a:ln w="19050">
                <a:solidFill>
                  <a:schemeClr val="lt1"/>
                </a:solidFill>
              </a:ln>
              <a:effectLst/>
            </c:spPr>
            <c:extLst>
              <c:ext xmlns:c16="http://schemas.microsoft.com/office/drawing/2014/chart" uri="{C3380CC4-5D6E-409C-BE32-E72D297353CC}">
                <c16:uniqueId val="{00000001-7785-427D-B299-623F6AF59921}"/>
              </c:ext>
            </c:extLst>
          </c:dPt>
          <c:dPt>
            <c:idx val="1"/>
            <c:invertIfNegative val="0"/>
            <c:bubble3D val="0"/>
            <c:spPr>
              <a:solidFill>
                <a:srgbClr val="FF0000"/>
              </a:solidFill>
              <a:ln w="19050">
                <a:solidFill>
                  <a:schemeClr val="lt1"/>
                </a:solidFill>
              </a:ln>
              <a:effectLst/>
            </c:spPr>
            <c:extLst>
              <c:ext xmlns:c16="http://schemas.microsoft.com/office/drawing/2014/chart" uri="{C3380CC4-5D6E-409C-BE32-E72D297353CC}">
                <c16:uniqueId val="{00000003-7785-427D-B299-623F6AF59921}"/>
              </c:ext>
            </c:extLst>
          </c:dPt>
          <c:dPt>
            <c:idx val="2"/>
            <c:invertIfNegative val="0"/>
            <c:bubble3D val="0"/>
            <c:spPr>
              <a:solidFill>
                <a:srgbClr val="FF0000"/>
              </a:solidFill>
              <a:ln w="19050">
                <a:solidFill>
                  <a:schemeClr val="lt1"/>
                </a:solidFill>
              </a:ln>
              <a:effectLst/>
            </c:spPr>
            <c:extLst>
              <c:ext xmlns:c16="http://schemas.microsoft.com/office/drawing/2014/chart" uri="{C3380CC4-5D6E-409C-BE32-E72D297353CC}">
                <c16:uniqueId val="{00000005-7785-427D-B299-623F6AF59921}"/>
              </c:ext>
            </c:extLst>
          </c:dPt>
          <c:dPt>
            <c:idx val="3"/>
            <c:invertIfNegative val="0"/>
            <c:bubble3D val="0"/>
            <c:spPr>
              <a:solidFill>
                <a:srgbClr val="FF0000"/>
              </a:solidFill>
              <a:ln w="19050">
                <a:solidFill>
                  <a:schemeClr val="lt1"/>
                </a:solidFill>
              </a:ln>
              <a:effectLst/>
            </c:spPr>
            <c:extLst>
              <c:ext xmlns:c16="http://schemas.microsoft.com/office/drawing/2014/chart" uri="{C3380CC4-5D6E-409C-BE32-E72D297353CC}">
                <c16:uniqueId val="{00000007-7785-427D-B299-623F6AF59921}"/>
              </c:ext>
            </c:extLst>
          </c:dPt>
          <c:dPt>
            <c:idx val="4"/>
            <c:invertIfNegative val="0"/>
            <c:bubble3D val="0"/>
            <c:spPr>
              <a:solidFill>
                <a:srgbClr val="FF0000"/>
              </a:solidFill>
              <a:ln w="19050">
                <a:solidFill>
                  <a:schemeClr val="lt1"/>
                </a:solidFill>
              </a:ln>
              <a:effectLst/>
            </c:spPr>
            <c:extLst>
              <c:ext xmlns:c16="http://schemas.microsoft.com/office/drawing/2014/chart" uri="{C3380CC4-5D6E-409C-BE32-E72D297353CC}">
                <c16:uniqueId val="{00000009-7785-427D-B299-623F6AF59921}"/>
              </c:ext>
            </c:extLst>
          </c:dPt>
          <c:dLbls>
            <c:dLbl>
              <c:idx val="0"/>
              <c:tx>
                <c:rich>
                  <a:bodyPr/>
                  <a:lstStyle/>
                  <a:p>
                    <a:r>
                      <a:rPr lang="en-US"/>
                      <a:t>&lt;1%</a:t>
                    </a:r>
                  </a:p>
                </c:rich>
              </c:tx>
              <c:dLblPos val="out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7785-427D-B299-623F6AF59921}"/>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Summary!$C$38</c:f>
              <c:numCache>
                <c:formatCode>0.00%</c:formatCode>
                <c:ptCount val="1"/>
                <c:pt idx="0">
                  <c:v>4.5553975378475746E-4</c:v>
                </c:pt>
              </c:numCache>
            </c:numRef>
          </c:val>
          <c:extLst>
            <c:ext xmlns:c16="http://schemas.microsoft.com/office/drawing/2014/chart" uri="{C3380CC4-5D6E-409C-BE32-E72D297353CC}">
              <c16:uniqueId val="{0000000A-7785-427D-B299-623F6AF59921}"/>
            </c:ext>
          </c:extLst>
        </c:ser>
        <c:ser>
          <c:idx val="1"/>
          <c:order val="1"/>
          <c:tx>
            <c:strRef>
              <c:f>Summary!$D$5</c:f>
              <c:strCache>
                <c:ptCount val="1"/>
                <c:pt idx="0">
                  <c:v>Travel Time Savings</c:v>
                </c:pt>
              </c:strCache>
            </c:strRef>
          </c:tx>
          <c:spPr>
            <a:solidFill>
              <a:schemeClr val="accent2">
                <a:lumMod val="60000"/>
                <a:lumOff val="40000"/>
              </a:schemeClr>
            </a:solidFill>
            <a:ln w="19050">
              <a:solidFill>
                <a:schemeClr val="lt1"/>
              </a:solid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Summary!$D$38</c:f>
              <c:numCache>
                <c:formatCode>0.00%</c:formatCode>
                <c:ptCount val="1"/>
                <c:pt idx="0">
                  <c:v>4.4409552870942684E-2</c:v>
                </c:pt>
              </c:numCache>
            </c:numRef>
          </c:val>
          <c:extLst>
            <c:ext xmlns:c16="http://schemas.microsoft.com/office/drawing/2014/chart" uri="{C3380CC4-5D6E-409C-BE32-E72D297353CC}">
              <c16:uniqueId val="{0000000B-7785-427D-B299-623F6AF59921}"/>
            </c:ext>
          </c:extLst>
        </c:ser>
        <c:ser>
          <c:idx val="2"/>
          <c:order val="2"/>
          <c:tx>
            <c:strRef>
              <c:f>Summary!$E$5</c:f>
              <c:strCache>
                <c:ptCount val="1"/>
                <c:pt idx="0">
                  <c:v>Vehicle Operating Cost Savings</c:v>
                </c:pt>
              </c:strCache>
            </c:strRef>
          </c:tx>
          <c:spPr>
            <a:solidFill>
              <a:schemeClr val="accent1">
                <a:lumMod val="60000"/>
                <a:lumOff val="40000"/>
              </a:schemeClr>
            </a:solidFill>
            <a:ln w="19050">
              <a:solidFill>
                <a:schemeClr val="lt1"/>
              </a:solid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Summary!$E$38</c:f>
              <c:numCache>
                <c:formatCode>0.00%</c:formatCode>
                <c:ptCount val="1"/>
                <c:pt idx="0">
                  <c:v>0.1693462998270287</c:v>
                </c:pt>
              </c:numCache>
            </c:numRef>
          </c:val>
          <c:extLst>
            <c:ext xmlns:c16="http://schemas.microsoft.com/office/drawing/2014/chart" uri="{C3380CC4-5D6E-409C-BE32-E72D297353CC}">
              <c16:uniqueId val="{0000000C-7785-427D-B299-623F6AF59921}"/>
            </c:ext>
          </c:extLst>
        </c:ser>
        <c:ser>
          <c:idx val="3"/>
          <c:order val="3"/>
          <c:tx>
            <c:strRef>
              <c:f>Summary!$F$5</c:f>
              <c:strCache>
                <c:ptCount val="1"/>
                <c:pt idx="0">
                  <c:v>Non-CO2 Emission Reduction</c:v>
                </c:pt>
              </c:strCache>
            </c:strRef>
          </c:tx>
          <c:spPr>
            <a:solidFill>
              <a:schemeClr val="accent6">
                <a:lumMod val="60000"/>
                <a:lumOff val="40000"/>
              </a:schemeClr>
            </a:solidFill>
            <a:ln w="19050" cap="rnd">
              <a:solidFill>
                <a:schemeClr val="lt1"/>
              </a:solid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Summary!$F$38</c:f>
              <c:numCache>
                <c:formatCode>0.00%</c:formatCode>
                <c:ptCount val="1"/>
                <c:pt idx="0">
                  <c:v>0.62362201838490361</c:v>
                </c:pt>
              </c:numCache>
            </c:numRef>
          </c:val>
          <c:extLst>
            <c:ext xmlns:c16="http://schemas.microsoft.com/office/drawing/2014/chart" uri="{C3380CC4-5D6E-409C-BE32-E72D297353CC}">
              <c16:uniqueId val="{0000000D-7785-427D-B299-623F6AF59921}"/>
            </c:ext>
          </c:extLst>
        </c:ser>
        <c:ser>
          <c:idx val="4"/>
          <c:order val="4"/>
          <c:tx>
            <c:strRef>
              <c:f>Summary!$G$5</c:f>
              <c:strCache>
                <c:ptCount val="1"/>
                <c:pt idx="0">
                  <c:v>CO2 Emission Reduction</c:v>
                </c:pt>
              </c:strCache>
            </c:strRef>
          </c:tx>
          <c:spPr>
            <a:solidFill>
              <a:schemeClr val="accent6">
                <a:lumMod val="75000"/>
              </a:schemeClr>
            </a:solidFill>
            <a:ln w="19050">
              <a:solidFill>
                <a:schemeClr val="lt1"/>
              </a:solid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Summary!$G$38</c:f>
              <c:numCache>
                <c:formatCode>0.00%</c:formatCode>
                <c:ptCount val="1"/>
                <c:pt idx="0">
                  <c:v>3.1980393691928032E-2</c:v>
                </c:pt>
              </c:numCache>
            </c:numRef>
          </c:val>
          <c:extLst>
            <c:ext xmlns:c16="http://schemas.microsoft.com/office/drawing/2014/chart" uri="{C3380CC4-5D6E-409C-BE32-E72D297353CC}">
              <c16:uniqueId val="{0000000E-7785-427D-B299-623F6AF59921}"/>
            </c:ext>
          </c:extLst>
        </c:ser>
        <c:ser>
          <c:idx val="5"/>
          <c:order val="5"/>
          <c:tx>
            <c:strRef>
              <c:f>Summary!$B$5</c:f>
              <c:strCache>
                <c:ptCount val="1"/>
                <c:pt idx="0">
                  <c:v>Operations and Maintenance</c:v>
                </c:pt>
              </c:strCache>
            </c:strRef>
          </c:tx>
          <c:spPr>
            <a:solidFill>
              <a:schemeClr val="tx1">
                <a:lumMod val="65000"/>
                <a:lumOff val="35000"/>
              </a:schemeClr>
            </a:solidFill>
            <a:ln w="19050">
              <a:solidFill>
                <a:schemeClr val="lt1"/>
              </a:solidFill>
            </a:ln>
            <a:effectLst/>
          </c:spPr>
          <c:invertIfNegative val="0"/>
          <c:dLbls>
            <c:dLbl>
              <c:idx val="0"/>
              <c:layout>
                <c:manualLayout>
                  <c:x val="-6.2256796622282853E-2"/>
                  <c:y val="0"/>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2BA-4FD4-948C-02BC23396EA3}"/>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Summary!$B$38</c:f>
              <c:numCache>
                <c:formatCode>0.00%</c:formatCode>
                <c:ptCount val="1"/>
                <c:pt idx="0">
                  <c:v>0.12182207648441344</c:v>
                </c:pt>
              </c:numCache>
            </c:numRef>
          </c:val>
          <c:extLst>
            <c:ext xmlns:c16="http://schemas.microsoft.com/office/drawing/2014/chart" uri="{C3380CC4-5D6E-409C-BE32-E72D297353CC}">
              <c16:uniqueId val="{0000000B-42BA-4FD4-948C-02BC23396EA3}"/>
            </c:ext>
          </c:extLst>
        </c:ser>
        <c:dLbls>
          <c:dLblPos val="outEnd"/>
          <c:showLegendKey val="0"/>
          <c:showVal val="1"/>
          <c:showCatName val="0"/>
          <c:showSerName val="0"/>
          <c:showPercent val="0"/>
          <c:showBubbleSize val="0"/>
        </c:dLbls>
        <c:gapWidth val="100"/>
        <c:axId val="1803596432"/>
        <c:axId val="1803596912"/>
      </c:barChart>
      <c:valAx>
        <c:axId val="1803596912"/>
        <c:scaling>
          <c:orientation val="minMax"/>
        </c:scaling>
        <c:delete val="1"/>
        <c:axPos val="b"/>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crossAx val="1803596432"/>
        <c:crosses val="autoZero"/>
        <c:crossBetween val="between"/>
      </c:valAx>
      <c:catAx>
        <c:axId val="1803596432"/>
        <c:scaling>
          <c:orientation val="minMax"/>
        </c:scaling>
        <c:delete val="1"/>
        <c:axPos val="l"/>
        <c:majorTickMark val="out"/>
        <c:minorTickMark val="none"/>
        <c:tickLblPos val="nextTo"/>
        <c:crossAx val="1803596912"/>
        <c:crosses val="autoZero"/>
        <c:auto val="1"/>
        <c:lblAlgn val="ctr"/>
        <c:lblOffset val="100"/>
        <c:noMultiLvlLbl val="0"/>
      </c:catAx>
      <c:spPr>
        <a:noFill/>
        <a:ln>
          <a:noFill/>
        </a:ln>
        <a:effectLst/>
      </c:spPr>
    </c:plotArea>
    <c:legend>
      <c:legendPos val="b"/>
      <c:layout>
        <c:manualLayout>
          <c:xMode val="edge"/>
          <c:yMode val="edge"/>
          <c:x val="0.53616761006956748"/>
          <c:y val="0.17325158895426981"/>
          <c:w val="0.45605677133556555"/>
          <c:h val="0.66424613589967918"/>
        </c:manualLayout>
      </c:layout>
      <c:overlay val="0"/>
      <c:spPr>
        <a:noFill/>
        <a:ln>
          <a:noFill/>
        </a:ln>
        <a:effectLst/>
      </c:spPr>
      <c:txPr>
        <a:bodyPr rot="0" spcFirstLastPara="1" vertOverflow="ellipsis" vert="horz" wrap="square" anchor="ctr" anchorCtr="1"/>
        <a:lstStyle/>
        <a:p>
          <a:pPr rtl="0">
            <a:defRPr sz="1100" b="1" i="0" u="none" strike="noStrike" kern="1200" baseline="0">
              <a:solidFill>
                <a:schemeClr val="tx1">
                  <a:lumMod val="65000"/>
                  <a:lumOff val="35000"/>
                </a:schemeClr>
              </a:solidFill>
              <a:latin typeface="Aptos" panose="020B0004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Aptos" panose="020B0004020202020204" pitchFamily="34" charset="0"/>
                <a:ea typeface="+mn-ea"/>
                <a:cs typeface="+mn-cs"/>
              </a:defRPr>
            </a:pPr>
            <a:r>
              <a:rPr lang="en-US" b="1">
                <a:solidFill>
                  <a:schemeClr val="tx1"/>
                </a:solidFill>
                <a:latin typeface="Aptos" panose="020B0004020202020204" pitchFamily="34" charset="0"/>
              </a:rPr>
              <a:t>Payback</a:t>
            </a:r>
            <a:r>
              <a:rPr lang="en-US" b="1" baseline="0">
                <a:solidFill>
                  <a:schemeClr val="tx1"/>
                </a:solidFill>
                <a:latin typeface="Aptos" panose="020B0004020202020204" pitchFamily="34" charset="0"/>
              </a:rPr>
              <a:t> Period</a:t>
            </a:r>
          </a:p>
          <a:p>
            <a:pPr>
              <a:defRPr b="1">
                <a:solidFill>
                  <a:schemeClr val="tx1"/>
                </a:solidFill>
                <a:latin typeface="Aptos" panose="020B0004020202020204" pitchFamily="34" charset="0"/>
              </a:defRPr>
            </a:pPr>
            <a:r>
              <a:rPr lang="en-US" sz="1100" b="1" baseline="0">
                <a:solidFill>
                  <a:schemeClr val="tx1"/>
                </a:solidFill>
                <a:latin typeface="Aptos" panose="020B0004020202020204" pitchFamily="34" charset="0"/>
              </a:rPr>
              <a:t>(Years)</a:t>
            </a:r>
            <a:endParaRPr lang="en-US" sz="1100" b="1">
              <a:solidFill>
                <a:schemeClr val="tx1"/>
              </a:solidFill>
              <a:latin typeface="Aptos" panose="020B0004020202020204" pitchFamily="34" charset="0"/>
            </a:endParaRPr>
          </a:p>
        </c:rich>
      </c:tx>
      <c:layout>
        <c:manualLayout>
          <c:xMode val="edge"/>
          <c:yMode val="edge"/>
          <c:x val="0.309078546075368"/>
          <c:y val="5.3488513160650834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Aptos" panose="020B0004020202020204" pitchFamily="34" charset="0"/>
              <a:ea typeface="+mn-ea"/>
              <a:cs typeface="+mn-cs"/>
            </a:defRPr>
          </a:pPr>
          <a:endParaRPr lang="en-US"/>
        </a:p>
      </c:txPr>
    </c:title>
    <c:autoTitleDeleted val="0"/>
    <c:plotArea>
      <c:layout>
        <c:manualLayout>
          <c:layoutTarget val="inner"/>
          <c:xMode val="edge"/>
          <c:yMode val="edge"/>
          <c:x val="0.2505952484324494"/>
          <c:y val="0.26292156875754091"/>
          <c:w val="0.6808706947184866"/>
          <c:h val="0.72460682964371326"/>
        </c:manualLayout>
      </c:layout>
      <c:doughnutChart>
        <c:varyColors val="1"/>
        <c:ser>
          <c:idx val="0"/>
          <c:order val="0"/>
          <c:spPr>
            <a:solidFill>
              <a:schemeClr val="accent2"/>
            </a:solidFill>
          </c:spPr>
          <c:dPt>
            <c:idx val="0"/>
            <c:bubble3D val="0"/>
            <c:spPr>
              <a:solidFill>
                <a:schemeClr val="accent2"/>
              </a:solidFill>
              <a:ln w="19050">
                <a:solidFill>
                  <a:schemeClr val="lt1"/>
                </a:solidFill>
              </a:ln>
              <a:effectLst/>
            </c:spPr>
            <c:extLst>
              <c:ext xmlns:c16="http://schemas.microsoft.com/office/drawing/2014/chart" uri="{C3380CC4-5D6E-409C-BE32-E72D297353CC}">
                <c16:uniqueId val="{00000001-251E-4A50-8E90-F17D5B5F7FC6}"/>
              </c:ext>
            </c:extLst>
          </c:dPt>
          <c:dPt>
            <c:idx val="1"/>
            <c:bubble3D val="0"/>
            <c:spPr>
              <a:solidFill>
                <a:schemeClr val="tx1">
                  <a:lumMod val="50000"/>
                  <a:lumOff val="50000"/>
                </a:schemeClr>
              </a:solidFill>
              <a:ln w="19050">
                <a:solidFill>
                  <a:schemeClr val="lt1"/>
                </a:solidFill>
              </a:ln>
              <a:effectLst/>
            </c:spPr>
            <c:extLst>
              <c:ext xmlns:c16="http://schemas.microsoft.com/office/drawing/2014/chart" uri="{C3380CC4-5D6E-409C-BE32-E72D297353CC}">
                <c16:uniqueId val="{00000001-3820-4976-B242-4D171A266DB9}"/>
              </c:ext>
            </c:extLst>
          </c:dPt>
          <c:val>
            <c:numRef>
              <c:f>'Final Results'!$A$28:$A$29</c:f>
              <c:numCache>
                <c:formatCode>0%</c:formatCode>
                <c:ptCount val="2"/>
                <c:pt idx="0">
                  <c:v>0.1195886326514474</c:v>
                </c:pt>
                <c:pt idx="1">
                  <c:v>1</c:v>
                </c:pt>
              </c:numCache>
            </c:numRef>
          </c:val>
          <c:extLst>
            <c:ext xmlns:c16="http://schemas.microsoft.com/office/drawing/2014/chart" uri="{C3380CC4-5D6E-409C-BE32-E72D297353CC}">
              <c16:uniqueId val="{00000000-3820-4976-B242-4D171A266DB9}"/>
            </c:ext>
          </c:extLst>
        </c:ser>
        <c:dLbls>
          <c:showLegendKey val="0"/>
          <c:showVal val="0"/>
          <c:showCatName val="0"/>
          <c:showSerName val="0"/>
          <c:showPercent val="0"/>
          <c:showBubbleSize val="0"/>
          <c:showLeaderLines val="1"/>
        </c:dLbls>
        <c:firstSliceAng val="321"/>
        <c:holeSize val="7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2028823</xdr:colOff>
      <xdr:row>24</xdr:row>
      <xdr:rowOff>85726</xdr:rowOff>
    </xdr:from>
    <xdr:to>
      <xdr:col>5</xdr:col>
      <xdr:colOff>161924</xdr:colOff>
      <xdr:row>35</xdr:row>
      <xdr:rowOff>76201</xdr:rowOff>
    </xdr:to>
    <xdr:graphicFrame macro="">
      <xdr:nvGraphicFramePr>
        <xdr:cNvPr id="2" name="Chart 1">
          <a:extLst>
            <a:ext uri="{FF2B5EF4-FFF2-40B4-BE49-F238E27FC236}">
              <a16:creationId xmlns:a16="http://schemas.microsoft.com/office/drawing/2014/main" id="{5F0E798E-F90B-4FA0-8D0E-8E82337372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114300</xdr:colOff>
      <xdr:row>34</xdr:row>
      <xdr:rowOff>85725</xdr:rowOff>
    </xdr:from>
    <xdr:to>
      <xdr:col>5</xdr:col>
      <xdr:colOff>142875</xdr:colOff>
      <xdr:row>34</xdr:row>
      <xdr:rowOff>85725</xdr:rowOff>
    </xdr:to>
    <xdr:cxnSp macro="">
      <xdr:nvCxnSpPr>
        <xdr:cNvPr id="6" name="Straight Connector 5">
          <a:extLst>
            <a:ext uri="{FF2B5EF4-FFF2-40B4-BE49-F238E27FC236}">
              <a16:creationId xmlns:a16="http://schemas.microsoft.com/office/drawing/2014/main" id="{85CE9C75-0009-0481-C1D5-06861D8EBB82}"/>
            </a:ext>
          </a:extLst>
        </xdr:cNvPr>
        <xdr:cNvCxnSpPr/>
      </xdr:nvCxnSpPr>
      <xdr:spPr>
        <a:xfrm>
          <a:off x="114300" y="6829425"/>
          <a:ext cx="67913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1247775</xdr:colOff>
      <xdr:row>34</xdr:row>
      <xdr:rowOff>95250</xdr:rowOff>
    </xdr:from>
    <xdr:to>
      <xdr:col>1</xdr:col>
      <xdr:colOff>1247775</xdr:colOff>
      <xdr:row>40</xdr:row>
      <xdr:rowOff>9525</xdr:rowOff>
    </xdr:to>
    <xdr:cxnSp macro="">
      <xdr:nvCxnSpPr>
        <xdr:cNvPr id="8" name="Straight Connector 7">
          <a:extLst>
            <a:ext uri="{FF2B5EF4-FFF2-40B4-BE49-F238E27FC236}">
              <a16:creationId xmlns:a16="http://schemas.microsoft.com/office/drawing/2014/main" id="{B6DD5BE7-0A94-EC4C-9B1E-1DA2D7630C16}"/>
            </a:ext>
          </a:extLst>
        </xdr:cNvPr>
        <xdr:cNvCxnSpPr/>
      </xdr:nvCxnSpPr>
      <xdr:spPr>
        <a:xfrm>
          <a:off x="4000500" y="6838950"/>
          <a:ext cx="0" cy="12477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2305050</xdr:colOff>
      <xdr:row>23</xdr:row>
      <xdr:rowOff>152400</xdr:rowOff>
    </xdr:from>
    <xdr:to>
      <xdr:col>0</xdr:col>
      <xdr:colOff>2305050</xdr:colOff>
      <xdr:row>34</xdr:row>
      <xdr:rowOff>85725</xdr:rowOff>
    </xdr:to>
    <xdr:cxnSp macro="">
      <xdr:nvCxnSpPr>
        <xdr:cNvPr id="9" name="Straight Connector 8">
          <a:extLst>
            <a:ext uri="{FF2B5EF4-FFF2-40B4-BE49-F238E27FC236}">
              <a16:creationId xmlns:a16="http://schemas.microsoft.com/office/drawing/2014/main" id="{4E8C77F9-4488-494F-AC0F-4408FB7EB83A}"/>
            </a:ext>
          </a:extLst>
        </xdr:cNvPr>
        <xdr:cNvCxnSpPr/>
      </xdr:nvCxnSpPr>
      <xdr:spPr>
        <a:xfrm>
          <a:off x="2305050" y="4657725"/>
          <a:ext cx="0" cy="21717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47625</xdr:colOff>
      <xdr:row>23</xdr:row>
      <xdr:rowOff>175846</xdr:rowOff>
    </xdr:from>
    <xdr:to>
      <xdr:col>0</xdr:col>
      <xdr:colOff>2293326</xdr:colOff>
      <xdr:row>34</xdr:row>
      <xdr:rowOff>43962</xdr:rowOff>
    </xdr:to>
    <xdr:graphicFrame macro="">
      <xdr:nvGraphicFramePr>
        <xdr:cNvPr id="7" name="Chart 6">
          <a:extLst>
            <a:ext uri="{FF2B5EF4-FFF2-40B4-BE49-F238E27FC236}">
              <a16:creationId xmlns:a16="http://schemas.microsoft.com/office/drawing/2014/main" id="{3FD5554D-0819-DF5D-DF8B-4441D2E6AFE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slan\Downloads\USDOT%20BCA%20Spreadsheet%20Template%201.31.24%20(2).xlsx" TargetMode="External"/><Relationship Id="rId1" Type="http://schemas.openxmlformats.org/officeDocument/2006/relationships/externalLinkPath" Target="/Users/jslan/Downloads/USDOT%20BCA%20Spreadsheet%20Template%201.31.24%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verview"/>
      <sheetName val="Project Information"/>
      <sheetName val="Parameter Values"/>
      <sheetName val="User Volumes"/>
      <sheetName val="Capital Costs"/>
      <sheetName val="Operations and Maintenance"/>
      <sheetName val="Safety"/>
      <sheetName val="Travel Time Savings"/>
      <sheetName val="Vehicle Operating Cost Savings"/>
      <sheetName val="Emissions Reduction"/>
      <sheetName val="Other Highway Use Externalities"/>
      <sheetName val="Amenity Benefits"/>
      <sheetName val="Health Benefits"/>
      <sheetName val="Residual Value"/>
      <sheetName val="Other Benefit 1"/>
      <sheetName val="Other Benefit 2"/>
      <sheetName val="Other Benefit 3"/>
      <sheetName val="Other Benefit 4"/>
      <sheetName val="Summary"/>
      <sheetName val="Final Results"/>
    </sheetNames>
    <sheetDataSet>
      <sheetData sheetId="0">
        <row r="22">
          <cell r="B22">
            <v>2022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transportation.gov/mission/office-secretary/office-policy/transportation-policy/benefit-cost-analysis-guidanc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7D2A8-0D1D-45CA-80EB-C8363DA63B93}">
  <sheetPr>
    <tabColor theme="0" tint="-0.249977111117893"/>
  </sheetPr>
  <dimension ref="A1:B23"/>
  <sheetViews>
    <sheetView topLeftCell="A8" zoomScale="130" zoomScaleNormal="130" workbookViewId="0"/>
  </sheetViews>
  <sheetFormatPr defaultColWidth="9.140625" defaultRowHeight="15" x14ac:dyDescent="0.25"/>
  <cols>
    <col min="1" max="1" width="72.85546875" style="5" customWidth="1"/>
    <col min="2" max="2" width="10.28515625" style="5" bestFit="1" customWidth="1"/>
    <col min="3" max="16384" width="9.140625" style="5"/>
  </cols>
  <sheetData>
    <row r="1" spans="1:1" ht="20.25" thickBot="1" x14ac:dyDescent="0.35">
      <c r="A1" s="45" t="s">
        <v>334</v>
      </c>
    </row>
    <row r="2" spans="1:1" ht="15.75" thickTop="1" x14ac:dyDescent="0.25">
      <c r="A2" s="46" t="s">
        <v>193</v>
      </c>
    </row>
    <row r="3" spans="1:1" ht="18" thickBot="1" x14ac:dyDescent="0.35">
      <c r="A3" s="48" t="s">
        <v>335</v>
      </c>
    </row>
    <row r="4" spans="1:1" ht="75.95" customHeight="1" thickTop="1" x14ac:dyDescent="0.25">
      <c r="A4" s="50" t="s">
        <v>336</v>
      </c>
    </row>
    <row r="5" spans="1:1" x14ac:dyDescent="0.25">
      <c r="A5" s="46" t="s">
        <v>194</v>
      </c>
    </row>
    <row r="6" spans="1:1" ht="18" thickBot="1" x14ac:dyDescent="0.35">
      <c r="A6" s="47" t="s">
        <v>195</v>
      </c>
    </row>
    <row r="7" spans="1:1" ht="15.75" thickTop="1" x14ac:dyDescent="0.25">
      <c r="A7" s="52" t="s">
        <v>337</v>
      </c>
    </row>
    <row r="8" spans="1:1" x14ac:dyDescent="0.25">
      <c r="A8" s="52" t="s">
        <v>338</v>
      </c>
    </row>
    <row r="9" spans="1:1" ht="30" x14ac:dyDescent="0.25">
      <c r="A9" s="51" t="s">
        <v>339</v>
      </c>
    </row>
    <row r="10" spans="1:1" x14ac:dyDescent="0.25">
      <c r="A10" s="53" t="str">
        <f>HYPERLINK("https://www.transportation.gov/mission/office-secretary/office-policy/transportation-policy/benefit-cost-analysis-guidance", "See USDOT BCA Guidance for full details.")</f>
        <v>See USDOT BCA Guidance for full details.</v>
      </c>
    </row>
    <row r="11" spans="1:1" x14ac:dyDescent="0.25">
      <c r="A11" s="46" t="s">
        <v>193</v>
      </c>
    </row>
    <row r="12" spans="1:1" ht="18" thickBot="1" x14ac:dyDescent="0.35">
      <c r="A12" s="47" t="s">
        <v>196</v>
      </c>
    </row>
    <row r="13" spans="1:1" ht="15.75" thickTop="1" x14ac:dyDescent="0.25">
      <c r="A13" s="54" t="s">
        <v>317</v>
      </c>
    </row>
    <row r="14" spans="1:1" ht="30" x14ac:dyDescent="0.25">
      <c r="A14" s="162" t="s">
        <v>340</v>
      </c>
    </row>
    <row r="15" spans="1:1" ht="30" x14ac:dyDescent="0.25">
      <c r="A15" s="163" t="s">
        <v>341</v>
      </c>
    </row>
    <row r="16" spans="1:1" ht="30" x14ac:dyDescent="0.25">
      <c r="A16" s="165" t="s">
        <v>342</v>
      </c>
    </row>
    <row r="17" spans="1:2" ht="45" x14ac:dyDescent="0.25">
      <c r="A17" s="49" t="s">
        <v>256</v>
      </c>
    </row>
    <row r="18" spans="1:2" x14ac:dyDescent="0.25">
      <c r="A18" s="49" t="s">
        <v>250</v>
      </c>
    </row>
    <row r="19" spans="1:2" ht="45" x14ac:dyDescent="0.25">
      <c r="A19" s="55" t="s">
        <v>318</v>
      </c>
    </row>
    <row r="22" spans="1:2" x14ac:dyDescent="0.25">
      <c r="A22" s="6" t="s">
        <v>158</v>
      </c>
      <c r="B22" s="170">
        <v>2022</v>
      </c>
    </row>
    <row r="23" spans="1:2" x14ac:dyDescent="0.25">
      <c r="A23" s="2" t="s">
        <v>343</v>
      </c>
      <c r="B23" s="171">
        <v>45322</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95586-785A-4FD2-A789-DCFA60DB471C}">
  <sheetPr>
    <tabColor theme="9" tint="0.39997558519241921"/>
  </sheetPr>
  <dimension ref="A1:BV114"/>
  <sheetViews>
    <sheetView topLeftCell="AB25" workbookViewId="0">
      <selection activeCell="AF56" sqref="AF56"/>
    </sheetView>
  </sheetViews>
  <sheetFormatPr defaultColWidth="9.140625" defaultRowHeight="15" x14ac:dyDescent="0.25"/>
  <cols>
    <col min="1" max="1" width="39" style="5" customWidth="1"/>
    <col min="2" max="2" width="35.42578125" style="5" customWidth="1"/>
    <col min="3" max="3" width="35.5703125" style="5" customWidth="1"/>
    <col min="4" max="4" width="30.140625" style="5" customWidth="1"/>
    <col min="5" max="5" width="26.85546875" style="5" customWidth="1"/>
    <col min="6" max="6" width="7.42578125" style="5" customWidth="1"/>
    <col min="7" max="14" width="20.5703125" style="5" customWidth="1"/>
    <col min="15" max="18" width="15.7109375" style="5" customWidth="1"/>
    <col min="19" max="19" width="28.5703125" style="5" customWidth="1"/>
    <col min="20" max="20" width="24.85546875" style="5" customWidth="1"/>
    <col min="21" max="21" width="11.140625" style="5" bestFit="1" customWidth="1"/>
    <col min="22" max="26" width="9.140625" style="5"/>
    <col min="27" max="27" width="10.7109375" style="5" customWidth="1"/>
    <col min="28" max="32" width="9.140625" style="5"/>
    <col min="33" max="33" width="7.85546875" style="5" bestFit="1" customWidth="1"/>
    <col min="34" max="37" width="9.140625" style="5"/>
    <col min="38" max="38" width="14.5703125" style="5" customWidth="1"/>
    <col min="39" max="39" width="14.42578125" style="5" customWidth="1"/>
    <col min="40" max="40" width="15.28515625" style="5" customWidth="1"/>
    <col min="41" max="41" width="14.5703125" style="5" customWidth="1"/>
    <col min="42" max="42" width="12.140625" style="5" customWidth="1"/>
    <col min="43" max="43" width="14.85546875" style="5" customWidth="1"/>
    <col min="44" max="44" width="9.140625" style="5"/>
    <col min="45" max="48" width="19.85546875" style="5" customWidth="1"/>
    <col min="49" max="49" width="20" style="5" customWidth="1"/>
    <col min="50" max="50" width="19.7109375" style="5" customWidth="1"/>
    <col min="51" max="51" width="10.7109375" style="5" customWidth="1"/>
    <col min="52" max="16384" width="9.140625" style="5"/>
  </cols>
  <sheetData>
    <row r="1" spans="1:9" ht="20.25" thickBot="1" x14ac:dyDescent="0.35">
      <c r="A1" s="93" t="s">
        <v>217</v>
      </c>
      <c r="B1" s="130"/>
      <c r="C1" s="130"/>
      <c r="D1" s="130"/>
      <c r="E1" s="130"/>
      <c r="F1" s="130"/>
    </row>
    <row r="2" spans="1:9" ht="15.75" thickTop="1" x14ac:dyDescent="0.25">
      <c r="A2" s="150" t="s">
        <v>307</v>
      </c>
      <c r="B2" s="151"/>
      <c r="C2" s="151"/>
      <c r="D2" s="151"/>
      <c r="E2" s="151"/>
      <c r="F2" s="151"/>
      <c r="G2" s="151"/>
      <c r="H2" s="151"/>
      <c r="I2" s="151"/>
    </row>
    <row r="3" spans="1:9" x14ac:dyDescent="0.25">
      <c r="A3" s="150" t="s">
        <v>332</v>
      </c>
      <c r="B3" s="151"/>
      <c r="C3" s="151"/>
      <c r="D3" s="151"/>
    </row>
    <row r="4" spans="1:9" x14ac:dyDescent="0.25">
      <c r="A4" s="150" t="s">
        <v>333</v>
      </c>
      <c r="B4" s="151"/>
      <c r="C4" s="151"/>
    </row>
    <row r="5" spans="1:9" x14ac:dyDescent="0.25">
      <c r="A5" s="150" t="s">
        <v>323</v>
      </c>
      <c r="B5" s="151"/>
      <c r="C5" s="151"/>
      <c r="D5" s="151"/>
      <c r="E5" s="151"/>
    </row>
    <row r="6" spans="1:9" x14ac:dyDescent="0.25">
      <c r="A6" s="5" t="s">
        <v>198</v>
      </c>
    </row>
    <row r="7" spans="1:9" x14ac:dyDescent="0.25">
      <c r="A7" s="94" t="s">
        <v>305</v>
      </c>
    </row>
    <row r="8" spans="1:9" ht="30" x14ac:dyDescent="0.25">
      <c r="A8" s="113" t="s">
        <v>142</v>
      </c>
      <c r="B8" s="113" t="s">
        <v>266</v>
      </c>
      <c r="C8" s="113" t="s">
        <v>266</v>
      </c>
    </row>
    <row r="9" spans="1:9" ht="18" x14ac:dyDescent="0.25">
      <c r="A9" s="136"/>
      <c r="B9" s="128" t="s">
        <v>303</v>
      </c>
      <c r="C9" s="128" t="s">
        <v>304</v>
      </c>
    </row>
    <row r="10" spans="1:9" x14ac:dyDescent="0.25">
      <c r="A10" s="35" t="s">
        <v>146</v>
      </c>
      <c r="B10" s="172" t="s">
        <v>100</v>
      </c>
      <c r="C10" s="137">
        <f>'Parameter Values'!F231</f>
        <v>0.107</v>
      </c>
    </row>
    <row r="11" spans="1:9" x14ac:dyDescent="0.25">
      <c r="A11" s="35" t="s">
        <v>147</v>
      </c>
      <c r="B11" s="172" t="s">
        <v>100</v>
      </c>
      <c r="C11" s="137">
        <f>'Parameter Values'!F232</f>
        <v>0.109</v>
      </c>
    </row>
    <row r="12" spans="1:9" x14ac:dyDescent="0.25">
      <c r="A12" s="35" t="s">
        <v>148</v>
      </c>
      <c r="B12" s="137">
        <f>'Parameter Values'!E233</f>
        <v>1.2E-2</v>
      </c>
      <c r="C12" s="137">
        <f>'Parameter Values'!F233</f>
        <v>0.107</v>
      </c>
    </row>
    <row r="13" spans="1:9" x14ac:dyDescent="0.25">
      <c r="A13" s="35" t="s">
        <v>149</v>
      </c>
      <c r="B13" s="172" t="s">
        <v>100</v>
      </c>
      <c r="C13" s="137">
        <f>'Parameter Values'!F234</f>
        <v>0.30299999999999999</v>
      </c>
    </row>
    <row r="14" spans="1:9" x14ac:dyDescent="0.25">
      <c r="A14" s="35" t="s">
        <v>150</v>
      </c>
      <c r="B14" s="172" t="s">
        <v>100</v>
      </c>
      <c r="C14" s="137">
        <f>'Parameter Values'!F235</f>
        <v>0.29899999999999999</v>
      </c>
    </row>
    <row r="15" spans="1:9" x14ac:dyDescent="0.25">
      <c r="A15" s="35" t="s">
        <v>151</v>
      </c>
      <c r="B15" s="137">
        <f>'Parameter Values'!E236</f>
        <v>3.5000000000000003E-2</v>
      </c>
      <c r="C15" s="137">
        <f>'Parameter Values'!F236</f>
        <v>0.30099999999999999</v>
      </c>
    </row>
    <row r="16" spans="1:9" x14ac:dyDescent="0.25">
      <c r="A16" s="35" t="s">
        <v>152</v>
      </c>
      <c r="B16" s="172" t="s">
        <v>100</v>
      </c>
      <c r="C16" s="137">
        <f>'Parameter Values'!F237</f>
        <v>0.124</v>
      </c>
    </row>
    <row r="17" spans="1:74" x14ac:dyDescent="0.25">
      <c r="A17" s="35" t="s">
        <v>153</v>
      </c>
      <c r="B17" s="172" t="s">
        <v>100</v>
      </c>
      <c r="C17" s="137">
        <f>'Parameter Values'!F238</f>
        <v>0.14000000000000001</v>
      </c>
    </row>
    <row r="18" spans="1:74" x14ac:dyDescent="0.25">
      <c r="A18" s="35" t="s">
        <v>154</v>
      </c>
      <c r="B18" s="137">
        <f>'Parameter Values'!E239</f>
        <v>1.4999999999999999E-2</v>
      </c>
      <c r="C18" s="137">
        <f>'Parameter Values'!F239</f>
        <v>0.129</v>
      </c>
    </row>
    <row r="19" spans="1:74" ht="30" x14ac:dyDescent="0.25">
      <c r="A19" s="113" t="s">
        <v>269</v>
      </c>
      <c r="B19" s="113" t="s">
        <v>279</v>
      </c>
      <c r="C19" s="113" t="s">
        <v>279</v>
      </c>
    </row>
    <row r="20" spans="1:74" ht="18" x14ac:dyDescent="0.25">
      <c r="A20" s="127" t="s">
        <v>270</v>
      </c>
      <c r="B20" s="128" t="s">
        <v>303</v>
      </c>
      <c r="C20" s="128" t="s">
        <v>304</v>
      </c>
    </row>
    <row r="21" spans="1:74" x14ac:dyDescent="0.25">
      <c r="A21" s="35" t="s">
        <v>271</v>
      </c>
      <c r="B21" s="129">
        <f>'Parameter Values'!C63</f>
        <v>749</v>
      </c>
      <c r="C21" s="129">
        <f>'Parameter Values'!D63</f>
        <v>28</v>
      </c>
    </row>
    <row r="22" spans="1:74" x14ac:dyDescent="0.25">
      <c r="A22" s="35" t="s">
        <v>272</v>
      </c>
      <c r="B22" s="129">
        <f>'Parameter Values'!C64</f>
        <v>102</v>
      </c>
      <c r="C22" s="129">
        <f>'Parameter Values'!D64</f>
        <v>26</v>
      </c>
    </row>
    <row r="23" spans="1:74" x14ac:dyDescent="0.25">
      <c r="A23" s="35" t="s">
        <v>273</v>
      </c>
      <c r="B23" s="129">
        <f>'Parameter Values'!C65</f>
        <v>102</v>
      </c>
      <c r="C23" s="129">
        <f>'Parameter Values'!D65</f>
        <v>26</v>
      </c>
    </row>
    <row r="24" spans="1:74" x14ac:dyDescent="0.25">
      <c r="A24" s="35" t="s">
        <v>274</v>
      </c>
      <c r="B24" s="129">
        <f>'Parameter Values'!C66</f>
        <v>102</v>
      </c>
      <c r="C24" s="129">
        <f>'Parameter Values'!D66</f>
        <v>26</v>
      </c>
    </row>
    <row r="25" spans="1:74" ht="18" x14ac:dyDescent="0.25">
      <c r="A25" s="127" t="s">
        <v>275</v>
      </c>
      <c r="B25" s="128" t="s">
        <v>303</v>
      </c>
      <c r="C25" s="128" t="s">
        <v>304</v>
      </c>
    </row>
    <row r="26" spans="1:74" x14ac:dyDescent="0.25">
      <c r="A26" s="35" t="s">
        <v>271</v>
      </c>
      <c r="B26" s="129">
        <f>'Parameter Values'!C68</f>
        <v>2202</v>
      </c>
      <c r="C26" s="129">
        <f>'Parameter Values'!D68</f>
        <v>280</v>
      </c>
    </row>
    <row r="27" spans="1:74" x14ac:dyDescent="0.25">
      <c r="A27" s="35" t="s">
        <v>272</v>
      </c>
      <c r="B27" s="129">
        <f>'Parameter Values'!C69</f>
        <v>727</v>
      </c>
      <c r="C27" s="129">
        <f>'Parameter Values'!D69</f>
        <v>218</v>
      </c>
    </row>
    <row r="28" spans="1:74" x14ac:dyDescent="0.25">
      <c r="A28" s="35" t="s">
        <v>273</v>
      </c>
      <c r="B28" s="129">
        <f>'Parameter Values'!C70</f>
        <v>727</v>
      </c>
      <c r="C28" s="129">
        <f>'Parameter Values'!D70</f>
        <v>218</v>
      </c>
    </row>
    <row r="29" spans="1:74" x14ac:dyDescent="0.25">
      <c r="A29" s="35" t="s">
        <v>274</v>
      </c>
      <c r="B29" s="129">
        <f>'Parameter Values'!C71</f>
        <v>727</v>
      </c>
      <c r="C29" s="129">
        <f>'Parameter Values'!D71</f>
        <v>218</v>
      </c>
    </row>
    <row r="30" spans="1:74" x14ac:dyDescent="0.25">
      <c r="A30" s="5" t="s">
        <v>198</v>
      </c>
    </row>
    <row r="31" spans="1:74" ht="15.75" thickBot="1" x14ac:dyDescent="0.3">
      <c r="A31" s="94" t="s">
        <v>302</v>
      </c>
      <c r="B31" s="131"/>
      <c r="C31" s="131"/>
      <c r="D31" s="131"/>
      <c r="E31" s="131"/>
      <c r="F31" s="131"/>
    </row>
    <row r="32" spans="1:74" ht="18" x14ac:dyDescent="0.35">
      <c r="A32" s="104" t="s">
        <v>4</v>
      </c>
      <c r="B32" s="107" t="s">
        <v>298</v>
      </c>
      <c r="C32" s="107" t="s">
        <v>299</v>
      </c>
      <c r="D32" s="107" t="s">
        <v>300</v>
      </c>
      <c r="E32" s="107" t="s">
        <v>301</v>
      </c>
      <c r="F32" s="107"/>
      <c r="G32" s="107" t="s">
        <v>218</v>
      </c>
      <c r="H32" s="105" t="s">
        <v>219</v>
      </c>
      <c r="I32" s="107" t="s">
        <v>220</v>
      </c>
      <c r="J32" s="105" t="s">
        <v>221</v>
      </c>
      <c r="K32" s="107" t="s">
        <v>222</v>
      </c>
      <c r="L32" s="105" t="s">
        <v>223</v>
      </c>
      <c r="M32" s="107" t="s">
        <v>224</v>
      </c>
      <c r="N32" s="105" t="s">
        <v>225</v>
      </c>
      <c r="O32" s="108" t="s">
        <v>226</v>
      </c>
      <c r="P32" s="109" t="s">
        <v>227</v>
      </c>
      <c r="Q32" s="109" t="s">
        <v>228</v>
      </c>
      <c r="R32" s="109" t="s">
        <v>229</v>
      </c>
      <c r="S32" s="110" t="s">
        <v>230</v>
      </c>
      <c r="T32" s="105" t="s">
        <v>231</v>
      </c>
      <c r="AA32" s="214" t="s">
        <v>410</v>
      </c>
      <c r="AB32" s="11"/>
      <c r="AC32" s="11"/>
      <c r="AD32" s="11"/>
      <c r="AE32" s="11"/>
      <c r="AF32" s="11"/>
      <c r="AG32" s="489" t="s">
        <v>463</v>
      </c>
      <c r="AH32" s="489"/>
      <c r="AI32" s="489"/>
      <c r="AJ32" s="489"/>
      <c r="AK32" s="489"/>
      <c r="AL32" s="489"/>
      <c r="AM32" s="489"/>
      <c r="AN32" s="489"/>
      <c r="AO32" s="11"/>
      <c r="AP32" s="11"/>
      <c r="AQ32" s="11"/>
      <c r="AR32" s="11"/>
      <c r="AS32" s="490" t="s">
        <v>500</v>
      </c>
      <c r="AT32" s="490"/>
      <c r="AU32" s="490"/>
      <c r="AV32" s="535"/>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2"/>
    </row>
    <row r="33" spans="1:74" ht="30" customHeight="1" x14ac:dyDescent="0.25">
      <c r="A33" s="6">
        <f>'Project Information'!$B$9</f>
        <v>2028</v>
      </c>
      <c r="B33" s="132">
        <f>(($AM$37+$AU$37)*$B$21)+(($AN$37+$AV$37)*$B$26)</f>
        <v>27969625.879999999</v>
      </c>
      <c r="C33" s="132">
        <f>(($AM$37+$AX$44)*$B$21)+(($AN$37+$AW$44)*$B$26)</f>
        <v>18158335.725000001</v>
      </c>
      <c r="D33" s="132">
        <f>(($AM$37+$AU$37)*$C$21)+(($AN$37+$AV$37)*$C$26)</f>
        <v>2918423.1999999997</v>
      </c>
      <c r="E33" s="132">
        <f>(($AM$37+$AX$44)*$C$21)+(($AN$37+$AW$44)*$C$26)</f>
        <v>1957385.5</v>
      </c>
      <c r="F33" s="6"/>
      <c r="G33" s="27">
        <v>0</v>
      </c>
      <c r="H33" s="27">
        <v>0</v>
      </c>
      <c r="I33" s="27">
        <v>0</v>
      </c>
      <c r="J33" s="27">
        <v>0</v>
      </c>
      <c r="K33" s="27">
        <v>0</v>
      </c>
      <c r="L33" s="27">
        <v>0</v>
      </c>
      <c r="M33" s="27">
        <v>0</v>
      </c>
      <c r="N33" s="27">
        <v>0</v>
      </c>
      <c r="O33" s="19">
        <f>IFERROR(VLOOKUP($A33,'Parameter Values'!$A$78:$E$107,2,FALSE),'Parameter Values'!B$107)</f>
        <v>21300</v>
      </c>
      <c r="P33" s="19">
        <f>IFERROR(VLOOKUP($A33,'Parameter Values'!$A$78:$E$107,3,FALSE),'Parameter Values'!C$107)</f>
        <v>58700</v>
      </c>
      <c r="Q33" s="19">
        <f>IFERROR(VLOOKUP($A33,'Parameter Values'!$A$78:$E$107,4,FALSE),'Parameter Values'!D$107)</f>
        <v>1030600</v>
      </c>
      <c r="R33" s="19">
        <f>IFERROR(VLOOKUP($A33,'Parameter Values'!$A$78:$E$107,5,FALSE),'Parameter Values'!E$107)</f>
        <v>249.64632144314442</v>
      </c>
      <c r="S33" s="19">
        <f>(B33-C33)+((G33-H33)*O33)+((I33-J33)*P33)+((K33-L33)*Q33)</f>
        <v>9811290.1549999975</v>
      </c>
      <c r="T33" s="18">
        <f>(D33-E33)+((M33-N33)*R33)</f>
        <v>961037.69999999972</v>
      </c>
      <c r="AA33" s="13"/>
      <c r="AB33" s="482" t="s">
        <v>398</v>
      </c>
      <c r="AC33" s="483"/>
      <c r="AD33" s="482" t="s">
        <v>396</v>
      </c>
      <c r="AE33" s="483"/>
      <c r="AF33" s="239" t="s">
        <v>385</v>
      </c>
      <c r="AG33" s="484" t="s">
        <v>390</v>
      </c>
      <c r="AH33" s="478" t="s">
        <v>391</v>
      </c>
      <c r="AI33" s="478" t="s">
        <v>395</v>
      </c>
      <c r="AJ33" s="478" t="s">
        <v>400</v>
      </c>
      <c r="AK33" s="480" t="s">
        <v>421</v>
      </c>
      <c r="AL33" s="480" t="s">
        <v>508</v>
      </c>
      <c r="AM33" s="480" t="s">
        <v>414</v>
      </c>
      <c r="AN33" s="480" t="s">
        <v>415</v>
      </c>
      <c r="AO33"/>
      <c r="AP33"/>
      <c r="AQ33"/>
      <c r="AR33"/>
      <c r="AS33" s="491" t="s">
        <v>457</v>
      </c>
      <c r="AT33" s="493" t="s">
        <v>460</v>
      </c>
      <c r="AU33" s="495" t="s">
        <v>470</v>
      </c>
      <c r="AV33" s="493" t="s">
        <v>462</v>
      </c>
      <c r="AW33"/>
      <c r="AX33"/>
      <c r="AY33"/>
      <c r="AZ33"/>
      <c r="BA33"/>
      <c r="BB33"/>
      <c r="BC33"/>
      <c r="BD33"/>
      <c r="BE33"/>
      <c r="BF33"/>
      <c r="BG33"/>
      <c r="BH33"/>
      <c r="BI33"/>
      <c r="BJ33"/>
      <c r="BK33"/>
      <c r="BL33"/>
      <c r="BM33"/>
      <c r="BN33"/>
      <c r="BO33"/>
      <c r="BP33"/>
      <c r="BQ33"/>
      <c r="BR33"/>
      <c r="BS33"/>
      <c r="BT33"/>
      <c r="BU33"/>
      <c r="BV33" s="14"/>
    </row>
    <row r="34" spans="1:74" ht="15.75" customHeight="1" thickBot="1" x14ac:dyDescent="0.3">
      <c r="A34" s="1">
        <f>IF(A33&lt;'Project Information'!B$11,A33+1,"")</f>
        <v>2029</v>
      </c>
      <c r="B34" s="132">
        <f>(($AM$37+$AU$37)*$B$21)+(($AN$37+$AV$37)*$B$26)</f>
        <v>27969625.879999999</v>
      </c>
      <c r="C34" s="132">
        <f>(($AM$37+$AX$44)*$B$21)+(($AN$37+$AW$44)*$B$26)</f>
        <v>18158335.725000001</v>
      </c>
      <c r="D34" s="132">
        <f>(($AM$37+$AU$37)*$C$21)+(($AN$37+$AV$37)*$C$26)</f>
        <v>2918423.1999999997</v>
      </c>
      <c r="E34" s="132">
        <f>(($AM$37+$AX$44)*$C$21)+(($AN$37+$AW$44)*$C$26)</f>
        <v>1957385.5</v>
      </c>
      <c r="F34" s="1"/>
      <c r="G34" s="27">
        <v>0</v>
      </c>
      <c r="H34" s="27">
        <v>0</v>
      </c>
      <c r="I34" s="27">
        <v>0</v>
      </c>
      <c r="J34" s="27">
        <v>0</v>
      </c>
      <c r="K34" s="27">
        <v>0</v>
      </c>
      <c r="L34" s="27">
        <v>0</v>
      </c>
      <c r="M34" s="27">
        <v>0</v>
      </c>
      <c r="N34" s="27">
        <v>0</v>
      </c>
      <c r="O34" s="19">
        <f>IFERROR(VLOOKUP($A34,'Parameter Values'!$A$78:$E$107,2,FALSE),'Parameter Values'!B$107)</f>
        <v>21700</v>
      </c>
      <c r="P34" s="19">
        <f>IFERROR(VLOOKUP($A34,'Parameter Values'!$A$78:$E$107,3,FALSE),'Parameter Values'!C$107)</f>
        <v>60100</v>
      </c>
      <c r="Q34" s="19">
        <f>IFERROR(VLOOKUP($A34,'Parameter Values'!$A$78:$E$107,4,FALSE),'Parameter Values'!D$107)</f>
        <v>1049600</v>
      </c>
      <c r="R34" s="19">
        <f>IFERROR(VLOOKUP($A34,'Parameter Values'!$A$78:$E$107,5,FALSE),'Parameter Values'!E$107)</f>
        <v>303.00479213520498</v>
      </c>
      <c r="S34" s="19">
        <f t="shared" ref="S34:S62" si="0">(B34-C34)+((G34-H34)*O34)+((I34-J34)*P34)+((K34-L34)*Q34)</f>
        <v>9811290.1549999975</v>
      </c>
      <c r="T34" s="18">
        <f t="shared" ref="T34:T62" si="1">(D34-E34)+((M34-N34)*R34)</f>
        <v>961037.69999999972</v>
      </c>
      <c r="AA34" s="15"/>
      <c r="AB34" s="218" t="s">
        <v>386</v>
      </c>
      <c r="AC34" s="219" t="s">
        <v>387</v>
      </c>
      <c r="AD34" s="218" t="s">
        <v>386</v>
      </c>
      <c r="AE34" s="226" t="s">
        <v>388</v>
      </c>
      <c r="AF34" s="230" t="s">
        <v>389</v>
      </c>
      <c r="AG34" s="485"/>
      <c r="AH34" s="479"/>
      <c r="AI34" s="479"/>
      <c r="AJ34" s="479"/>
      <c r="AK34" s="481"/>
      <c r="AL34" s="481"/>
      <c r="AM34" s="481"/>
      <c r="AN34" s="481"/>
      <c r="AO34"/>
      <c r="AP34"/>
      <c r="AQ34"/>
      <c r="AR34"/>
      <c r="AS34" s="492"/>
      <c r="AT34" s="494"/>
      <c r="AU34" s="496"/>
      <c r="AV34" s="494"/>
      <c r="AW34"/>
      <c r="AX34"/>
      <c r="AY34"/>
      <c r="AZ34"/>
      <c r="BA34"/>
      <c r="BB34"/>
      <c r="BC34"/>
      <c r="BD34"/>
      <c r="BE34"/>
      <c r="BF34"/>
      <c r="BG34"/>
      <c r="BH34"/>
      <c r="BI34"/>
      <c r="BJ34"/>
      <c r="BK34"/>
      <c r="BL34"/>
      <c r="BM34"/>
      <c r="BN34"/>
      <c r="BO34"/>
      <c r="BP34"/>
      <c r="BQ34"/>
      <c r="BR34"/>
      <c r="BS34"/>
      <c r="BT34"/>
      <c r="BU34"/>
      <c r="BV34" s="14"/>
    </row>
    <row r="35" spans="1:74" ht="15.75" customHeight="1" x14ac:dyDescent="0.25">
      <c r="A35" s="1">
        <f>IF(A34&lt;'Project Information'!B$11,A34+1,"")</f>
        <v>2030</v>
      </c>
      <c r="B35" s="132">
        <f>(($AM$44+$AU$44)*$B$21)+(($AN$44+$AV$44)*$B$26)</f>
        <v>42148474.280000001</v>
      </c>
      <c r="C35" s="132">
        <f>(($AP$44+$AX$44)*$B$21)+(($AQ$44+$AW$44)*$B$26)</f>
        <v>18158335.725000001</v>
      </c>
      <c r="D35" s="132">
        <f>(($AM$44+$AU$44)*$C$21)+(($AN$44+$AV$44)*$C$26)</f>
        <v>4500479.1999999993</v>
      </c>
      <c r="E35" s="132">
        <f t="shared" ref="E35:E57" si="2">(($AM$44+$AX$44)*$C$21)+(($AN$44+$AW$44)*$C$26)</f>
        <v>3539441.5</v>
      </c>
      <c r="F35" s="1"/>
      <c r="G35" s="27">
        <v>0</v>
      </c>
      <c r="H35" s="27">
        <v>0</v>
      </c>
      <c r="I35" s="27">
        <v>0</v>
      </c>
      <c r="J35" s="27">
        <v>0</v>
      </c>
      <c r="K35" s="27">
        <v>0</v>
      </c>
      <c r="L35" s="27">
        <v>0</v>
      </c>
      <c r="M35" s="27">
        <v>0</v>
      </c>
      <c r="N35" s="27">
        <v>0</v>
      </c>
      <c r="O35" s="19">
        <f>IFERROR(VLOOKUP($A35,'Parameter Values'!$A$78:$E$107,2,FALSE),'Parameter Values'!B$107)</f>
        <v>20300</v>
      </c>
      <c r="P35" s="19">
        <f>IFERROR(VLOOKUP($A35,'Parameter Values'!$A$78:$E$107,3,FALSE),'Parameter Values'!C$107)</f>
        <v>54800</v>
      </c>
      <c r="Q35" s="19">
        <f>IFERROR(VLOOKUP($A35,'Parameter Values'!$A$78:$E$107,4,FALSE),'Parameter Values'!D$107)</f>
        <v>975500</v>
      </c>
      <c r="R35" s="19">
        <f>IFERROR(VLOOKUP($A35,'Parameter Values'!$A$78:$E$107,5,FALSE),'Parameter Values'!E$107)</f>
        <v>237.33192890559022</v>
      </c>
      <c r="S35" s="19">
        <f>(B35-C35)+((G35-H35)*O35)+((I35-J35)*P35)+((K35-L35)*Q35)</f>
        <v>23990138.555</v>
      </c>
      <c r="T35" s="18">
        <f>(D35-E35)+((M35-N35)*R35)</f>
        <v>961037.69999999925</v>
      </c>
      <c r="AA35" s="13" t="s">
        <v>392</v>
      </c>
      <c r="AB35" s="220">
        <v>80</v>
      </c>
      <c r="AC35" s="221">
        <v>27</v>
      </c>
      <c r="AD35" s="227">
        <v>0</v>
      </c>
      <c r="AE35" s="240">
        <v>6.4</v>
      </c>
      <c r="AF35" s="231">
        <v>2</v>
      </c>
      <c r="AG35" s="220">
        <f>SUM(AB35:AF35)</f>
        <v>115.4</v>
      </c>
      <c r="AH35" s="242">
        <v>0.6</v>
      </c>
      <c r="AI35" s="234">
        <f>AH35*365</f>
        <v>219</v>
      </c>
      <c r="AJ35" s="234">
        <f>'Parameter Values'!$B$248</f>
        <v>40.5</v>
      </c>
      <c r="AK35" s="235">
        <f>AI35*AJ35</f>
        <v>8869.5</v>
      </c>
      <c r="AL35" s="235"/>
      <c r="AM35" s="235"/>
      <c r="AN35" s="235"/>
      <c r="AO35"/>
      <c r="AP35"/>
      <c r="AQ35"/>
      <c r="AR35"/>
      <c r="AS35" s="279" t="s">
        <v>458</v>
      </c>
      <c r="AT35" s="275">
        <f>'Parameter Values'!B250*365</f>
        <v>730</v>
      </c>
      <c r="AU35" s="272">
        <f>AT35*5</f>
        <v>3650</v>
      </c>
      <c r="AV35" s="272">
        <f>(AT35*'Parameter Values'!B248)/AG49</f>
        <v>2956.5</v>
      </c>
      <c r="AW35"/>
      <c r="AX35"/>
      <c r="AY35"/>
      <c r="AZ35"/>
      <c r="BA35"/>
      <c r="BB35"/>
      <c r="BC35"/>
      <c r="BD35"/>
      <c r="BE35"/>
      <c r="BF35"/>
      <c r="BG35"/>
      <c r="BH35"/>
      <c r="BI35"/>
      <c r="BJ35"/>
      <c r="BK35"/>
      <c r="BL35"/>
      <c r="BM35"/>
      <c r="BN35"/>
      <c r="BO35"/>
      <c r="BP35"/>
      <c r="BQ35"/>
      <c r="BR35"/>
      <c r="BS35"/>
      <c r="BT35"/>
      <c r="BU35"/>
      <c r="BV35" s="14"/>
    </row>
    <row r="36" spans="1:74" x14ac:dyDescent="0.25">
      <c r="A36" s="1">
        <f>IF(A35&lt;'Project Information'!B$11,A35+1,"")</f>
        <v>2031</v>
      </c>
      <c r="B36" s="132">
        <f t="shared" ref="B36:B57" si="3">(($AM$44+$AU$44)*$B$21)+(($AN$44+$AV$44)*$B$26)</f>
        <v>42148474.280000001</v>
      </c>
      <c r="C36" s="132">
        <f t="shared" ref="C36:C57" si="4">(($AP$44+$AX$44)*$B$21)+(($AQ$44+$AW$44)*$B$26)</f>
        <v>18158335.725000001</v>
      </c>
      <c r="D36" s="132">
        <f t="shared" ref="D36:D56" si="5">(($AM$44+$AU$44)*$C$21)+(($AN$44+$AV$44)*$C$26)</f>
        <v>4500479.1999999993</v>
      </c>
      <c r="E36" s="132">
        <f t="shared" si="2"/>
        <v>3539441.5</v>
      </c>
      <c r="F36" s="1"/>
      <c r="G36" s="27">
        <v>0</v>
      </c>
      <c r="H36" s="27">
        <v>0</v>
      </c>
      <c r="I36" s="27">
        <v>0</v>
      </c>
      <c r="J36" s="27">
        <v>0</v>
      </c>
      <c r="K36" s="27">
        <v>0</v>
      </c>
      <c r="L36" s="27">
        <v>0</v>
      </c>
      <c r="M36" s="27">
        <v>0</v>
      </c>
      <c r="N36" s="27">
        <v>0</v>
      </c>
      <c r="O36" s="19">
        <f>IFERROR(VLOOKUP($A36,'Parameter Values'!$A$78:$E$107,2,FALSE),'Parameter Values'!B$107)</f>
        <v>22000</v>
      </c>
      <c r="P36" s="19">
        <f>IFERROR(VLOOKUP($A36,'Parameter Values'!$A$78:$E$107,3,FALSE),'Parameter Values'!C$107)</f>
        <v>61500</v>
      </c>
      <c r="Q36" s="19">
        <f>IFERROR(VLOOKUP($A36,'Parameter Values'!$A$78:$E$107,4,FALSE),'Parameter Values'!D$107)</f>
        <v>1069000</v>
      </c>
      <c r="R36" s="19">
        <f>IFERROR(VLOOKUP($A36,'Parameter Values'!$A$78:$E$107,5,FALSE),'Parameter Values'!E$107)</f>
        <v>261.96071398069864</v>
      </c>
      <c r="S36" s="19">
        <f t="shared" si="0"/>
        <v>23990138.555</v>
      </c>
      <c r="T36" s="18">
        <f t="shared" si="1"/>
        <v>961037.69999999925</v>
      </c>
      <c r="AA36" s="216" t="s">
        <v>393</v>
      </c>
      <c r="AB36" s="222">
        <v>80</v>
      </c>
      <c r="AC36" s="223">
        <v>27</v>
      </c>
      <c r="AD36" s="228">
        <v>0</v>
      </c>
      <c r="AE36" s="241">
        <v>6.4</v>
      </c>
      <c r="AF36" s="232">
        <v>2</v>
      </c>
      <c r="AG36" s="222">
        <f>SUM(AB36:AF36)</f>
        <v>115.4</v>
      </c>
      <c r="AH36" s="243">
        <v>0.6</v>
      </c>
      <c r="AI36" s="217">
        <f>AH36*365</f>
        <v>219</v>
      </c>
      <c r="AJ36" s="217">
        <f>'Parameter Values'!$B$248</f>
        <v>40.5</v>
      </c>
      <c r="AK36" s="236">
        <f t="shared" ref="AK36" si="6">AI36*AJ36</f>
        <v>8869.5</v>
      </c>
      <c r="AL36" s="236"/>
      <c r="AM36" s="236"/>
      <c r="AN36" s="236"/>
      <c r="AO36"/>
      <c r="AP36"/>
      <c r="AQ36"/>
      <c r="AR36"/>
      <c r="AS36" s="280" t="s">
        <v>459</v>
      </c>
      <c r="AT36" s="276">
        <f>'Parameter Values'!B251*365</f>
        <v>730</v>
      </c>
      <c r="AU36" s="273">
        <f>AT36*5</f>
        <v>3650</v>
      </c>
      <c r="AV36" s="273">
        <f>(AT36*'Parameter Values'!B249)/AG50</f>
        <v>2969.64</v>
      </c>
      <c r="AW36"/>
      <c r="AX36"/>
      <c r="AY36"/>
      <c r="AZ36"/>
      <c r="BA36"/>
      <c r="BB36"/>
      <c r="BC36"/>
      <c r="BD36"/>
      <c r="BE36"/>
      <c r="BF36"/>
      <c r="BG36"/>
      <c r="BH36"/>
      <c r="BI36"/>
      <c r="BJ36"/>
      <c r="BK36"/>
      <c r="BL36"/>
      <c r="BM36"/>
      <c r="BN36"/>
      <c r="BO36"/>
      <c r="BP36"/>
      <c r="BQ36"/>
      <c r="BR36"/>
      <c r="BS36"/>
      <c r="BT36"/>
      <c r="BU36"/>
      <c r="BV36" s="14"/>
    </row>
    <row r="37" spans="1:74" x14ac:dyDescent="0.25">
      <c r="A37" s="1">
        <f>IF(A36&lt;'Project Information'!B$11,A36+1,"")</f>
        <v>2032</v>
      </c>
      <c r="B37" s="132">
        <f t="shared" si="3"/>
        <v>42148474.280000001</v>
      </c>
      <c r="C37" s="132">
        <f t="shared" si="4"/>
        <v>18158335.725000001</v>
      </c>
      <c r="D37" s="132">
        <f t="shared" si="5"/>
        <v>4500479.1999999993</v>
      </c>
      <c r="E37" s="132">
        <f t="shared" si="2"/>
        <v>3539441.5</v>
      </c>
      <c r="F37" s="1"/>
      <c r="G37" s="27">
        <v>0</v>
      </c>
      <c r="H37" s="27">
        <v>0</v>
      </c>
      <c r="I37" s="27">
        <v>0</v>
      </c>
      <c r="J37" s="27">
        <v>0</v>
      </c>
      <c r="K37" s="27">
        <v>0</v>
      </c>
      <c r="L37" s="27">
        <v>0</v>
      </c>
      <c r="M37" s="27">
        <v>0</v>
      </c>
      <c r="N37" s="27">
        <v>0</v>
      </c>
      <c r="O37" s="19">
        <f>IFERROR(VLOOKUP($A37,'Parameter Values'!$A$78:$E$107,2,FALSE),'Parameter Values'!B$107)</f>
        <v>22000</v>
      </c>
      <c r="P37" s="19">
        <f>IFERROR(VLOOKUP($A37,'Parameter Values'!$A$78:$E$107,3,FALSE),'Parameter Values'!C$107)</f>
        <v>61500</v>
      </c>
      <c r="Q37" s="19">
        <f>IFERROR(VLOOKUP($A37,'Parameter Values'!$A$78:$E$107,4,FALSE),'Parameter Values'!D$107)</f>
        <v>1069000</v>
      </c>
      <c r="R37" s="19">
        <f>IFERROR(VLOOKUP($A37,'Parameter Values'!$A$78:$E$107,5,FALSE),'Parameter Values'!E$107)</f>
        <v>265.31918467275887</v>
      </c>
      <c r="S37" s="19">
        <f t="shared" si="0"/>
        <v>23990138.555</v>
      </c>
      <c r="T37" s="18">
        <f t="shared" si="1"/>
        <v>961037.69999999925</v>
      </c>
      <c r="AA37" s="215" t="s">
        <v>394</v>
      </c>
      <c r="AB37" s="224">
        <f>SUM(AB35:AB36)</f>
        <v>160</v>
      </c>
      <c r="AC37" s="225">
        <f t="shared" ref="AC37:AK37" si="7">SUM(AC35:AC36)</f>
        <v>54</v>
      </c>
      <c r="AD37" s="229">
        <f t="shared" si="7"/>
        <v>0</v>
      </c>
      <c r="AE37" s="245">
        <f t="shared" si="7"/>
        <v>12.8</v>
      </c>
      <c r="AF37" s="233">
        <f t="shared" si="7"/>
        <v>4</v>
      </c>
      <c r="AG37" s="224">
        <f t="shared" si="7"/>
        <v>230.8</v>
      </c>
      <c r="AH37" s="244">
        <f t="shared" si="7"/>
        <v>1.2</v>
      </c>
      <c r="AI37" s="237">
        <f>SUM(AI35:AI36)</f>
        <v>438</v>
      </c>
      <c r="AJ37" s="237">
        <f t="shared" si="7"/>
        <v>81</v>
      </c>
      <c r="AK37" s="238">
        <f t="shared" si="7"/>
        <v>17739</v>
      </c>
      <c r="AL37" s="238">
        <f>AG49</f>
        <v>10</v>
      </c>
      <c r="AM37" s="238">
        <f>5*AI37</f>
        <v>2190</v>
      </c>
      <c r="AN37" s="238">
        <f>(AI37*AJ37)/AL37</f>
        <v>3547.8</v>
      </c>
      <c r="AO37"/>
      <c r="AP37"/>
      <c r="AQ37"/>
      <c r="AR37"/>
      <c r="AS37" s="281" t="s">
        <v>394</v>
      </c>
      <c r="AT37" s="277">
        <f>SUM(AT35:AT36)</f>
        <v>1460</v>
      </c>
      <c r="AU37" s="274">
        <f>SUM(AU35:AU36)</f>
        <v>7300</v>
      </c>
      <c r="AV37" s="274">
        <f>SUM(AV35:AV36)</f>
        <v>5926.1399999999994</v>
      </c>
      <c r="AW37"/>
      <c r="AX37"/>
      <c r="AY37"/>
      <c r="AZ37"/>
      <c r="BA37"/>
      <c r="BB37"/>
      <c r="BC37"/>
      <c r="BD37"/>
      <c r="BE37"/>
      <c r="BF37"/>
      <c r="BG37"/>
      <c r="BH37"/>
      <c r="BI37"/>
      <c r="BJ37"/>
      <c r="BK37"/>
      <c r="BL37"/>
      <c r="BM37"/>
      <c r="BN37"/>
      <c r="BO37"/>
      <c r="BP37"/>
      <c r="BQ37"/>
      <c r="BR37"/>
      <c r="BS37"/>
      <c r="BT37"/>
      <c r="BU37"/>
      <c r="BV37" s="14"/>
    </row>
    <row r="38" spans="1:74" ht="15" customHeight="1" thickBot="1" x14ac:dyDescent="0.3">
      <c r="A38" s="1">
        <f>IF(A37&lt;'Project Information'!B$11,A37+1,"")</f>
        <v>2033</v>
      </c>
      <c r="B38" s="132">
        <f t="shared" si="3"/>
        <v>42148474.280000001</v>
      </c>
      <c r="C38" s="132">
        <f t="shared" si="4"/>
        <v>18158335.725000001</v>
      </c>
      <c r="D38" s="132">
        <f t="shared" si="5"/>
        <v>4500479.1999999993</v>
      </c>
      <c r="E38" s="132">
        <f t="shared" si="2"/>
        <v>3539441.5</v>
      </c>
      <c r="F38" s="1"/>
      <c r="G38" s="27">
        <v>0</v>
      </c>
      <c r="H38" s="27">
        <v>0</v>
      </c>
      <c r="I38" s="27">
        <v>0</v>
      </c>
      <c r="J38" s="27">
        <v>0</v>
      </c>
      <c r="K38" s="27">
        <v>0</v>
      </c>
      <c r="L38" s="27">
        <v>0</v>
      </c>
      <c r="M38" s="27">
        <v>0</v>
      </c>
      <c r="N38" s="27">
        <v>0</v>
      </c>
      <c r="O38" s="19">
        <f>IFERROR(VLOOKUP($A38,'Parameter Values'!$A$78:$E$107,2,FALSE),'Parameter Values'!B$107)</f>
        <v>22000</v>
      </c>
      <c r="P38" s="19">
        <f>IFERROR(VLOOKUP($A38,'Parameter Values'!$A$78:$E$107,3,FALSE),'Parameter Values'!C$107)</f>
        <v>61500</v>
      </c>
      <c r="Q38" s="19">
        <f>IFERROR(VLOOKUP($A38,'Parameter Values'!$A$78:$E$107,4,FALSE),'Parameter Values'!D$107)</f>
        <v>1069000</v>
      </c>
      <c r="R38" s="19">
        <f>IFERROR(VLOOKUP($A38,'Parameter Values'!$A$78:$E$107,5,FALSE),'Parameter Values'!E$107)</f>
        <v>269.79714559550587</v>
      </c>
      <c r="S38" s="19">
        <f t="shared" si="0"/>
        <v>23990138.555</v>
      </c>
      <c r="T38" s="18">
        <f t="shared" si="1"/>
        <v>961037.69999999925</v>
      </c>
      <c r="AA38" s="13"/>
      <c r="AB38" s="175"/>
      <c r="AC38"/>
      <c r="AD38"/>
      <c r="AE38" s="174"/>
      <c r="AF38"/>
      <c r="AG38"/>
      <c r="AH38"/>
      <c r="AI38"/>
      <c r="AJ38"/>
      <c r="AK38"/>
      <c r="AL38" s="213"/>
      <c r="AM38"/>
      <c r="AN38"/>
      <c r="AO38"/>
      <c r="AP38"/>
      <c r="AQ38"/>
      <c r="AR38"/>
      <c r="AS38" s="278"/>
      <c r="AT38" s="278"/>
      <c r="AU38" s="278"/>
      <c r="AV38"/>
      <c r="AW38"/>
      <c r="AX38"/>
      <c r="AY38"/>
      <c r="AZ38"/>
      <c r="BA38"/>
      <c r="BB38"/>
      <c r="BC38"/>
      <c r="BD38"/>
      <c r="BE38"/>
      <c r="BF38"/>
      <c r="BG38"/>
      <c r="BH38"/>
      <c r="BI38"/>
      <c r="BJ38"/>
      <c r="BK38"/>
      <c r="BL38"/>
      <c r="BM38"/>
      <c r="BN38"/>
      <c r="BO38"/>
      <c r="BP38"/>
      <c r="BQ38"/>
      <c r="BR38"/>
      <c r="BS38"/>
      <c r="BT38"/>
      <c r="BU38"/>
      <c r="BV38" s="14"/>
    </row>
    <row r="39" spans="1:74" x14ac:dyDescent="0.25">
      <c r="A39" s="1">
        <f>IF(A38&lt;'Project Information'!B$11,A38+1,"")</f>
        <v>2034</v>
      </c>
      <c r="B39" s="132">
        <f t="shared" si="3"/>
        <v>42148474.280000001</v>
      </c>
      <c r="C39" s="132">
        <f t="shared" si="4"/>
        <v>18158335.725000001</v>
      </c>
      <c r="D39" s="132">
        <f t="shared" si="5"/>
        <v>4500479.1999999993</v>
      </c>
      <c r="E39" s="132">
        <f t="shared" si="2"/>
        <v>3539441.5</v>
      </c>
      <c r="F39" s="1"/>
      <c r="G39" s="27">
        <v>0</v>
      </c>
      <c r="H39" s="27">
        <v>0</v>
      </c>
      <c r="I39" s="27">
        <v>0</v>
      </c>
      <c r="J39" s="27">
        <v>0</v>
      </c>
      <c r="K39" s="27">
        <v>0</v>
      </c>
      <c r="L39" s="27">
        <v>0</v>
      </c>
      <c r="M39" s="27">
        <v>0</v>
      </c>
      <c r="N39" s="27">
        <v>0</v>
      </c>
      <c r="O39" s="19">
        <f>IFERROR(VLOOKUP($A39,'Parameter Values'!$A$78:$E$107,2,FALSE),'Parameter Values'!B$107)</f>
        <v>22000</v>
      </c>
      <c r="P39" s="19">
        <f>IFERROR(VLOOKUP($A39,'Parameter Values'!$A$78:$E$107,3,FALSE),'Parameter Values'!C$107)</f>
        <v>61500</v>
      </c>
      <c r="Q39" s="19">
        <f>IFERROR(VLOOKUP($A39,'Parameter Values'!$A$78:$E$107,4,FALSE),'Parameter Values'!D$107)</f>
        <v>1069000</v>
      </c>
      <c r="R39" s="19">
        <f>IFERROR(VLOOKUP($A39,'Parameter Values'!$A$78:$E$107,5,FALSE),'Parameter Values'!E$107)</f>
        <v>274.27510651830301</v>
      </c>
      <c r="S39" s="19">
        <f t="shared" si="0"/>
        <v>23990138.555</v>
      </c>
      <c r="T39" s="18">
        <f t="shared" si="1"/>
        <v>961037.69999999925</v>
      </c>
      <c r="AA39" s="214" t="s">
        <v>409</v>
      </c>
      <c r="AB39" s="11"/>
      <c r="AC39" s="11"/>
      <c r="AD39" s="11"/>
      <c r="AE39" s="11"/>
      <c r="AF39" s="11"/>
      <c r="AG39" s="489" t="s">
        <v>463</v>
      </c>
      <c r="AH39" s="489"/>
      <c r="AI39" s="489"/>
      <c r="AJ39" s="489"/>
      <c r="AK39" s="489"/>
      <c r="AL39" s="489"/>
      <c r="AM39" s="489"/>
      <c r="AN39" s="489"/>
      <c r="AO39" s="489"/>
      <c r="AP39" s="489"/>
      <c r="AQ39" s="489"/>
      <c r="AR39" s="11"/>
      <c r="AS39" s="490" t="s">
        <v>500</v>
      </c>
      <c r="AT39" s="490"/>
      <c r="AU39" s="490"/>
      <c r="AV39" s="490"/>
      <c r="AW39" s="490"/>
      <c r="AX39" s="490"/>
      <c r="AY39"/>
      <c r="AZ39"/>
      <c r="BA39"/>
      <c r="BB39"/>
      <c r="BC39"/>
      <c r="BD39"/>
      <c r="BE39"/>
      <c r="BF39"/>
      <c r="BG39"/>
      <c r="BH39"/>
      <c r="BI39"/>
      <c r="BJ39"/>
      <c r="BK39"/>
      <c r="BL39"/>
      <c r="BM39"/>
      <c r="BN39"/>
      <c r="BO39"/>
      <c r="BP39"/>
      <c r="BQ39"/>
      <c r="BR39"/>
      <c r="BS39"/>
      <c r="BT39"/>
      <c r="BU39"/>
      <c r="BV39" s="14"/>
    </row>
    <row r="40" spans="1:74" ht="30" customHeight="1" x14ac:dyDescent="0.25">
      <c r="A40" s="1">
        <f>IF(A39&lt;'Project Information'!B$11,A39+1,"")</f>
        <v>2035</v>
      </c>
      <c r="B40" s="132">
        <f t="shared" si="3"/>
        <v>42148474.280000001</v>
      </c>
      <c r="C40" s="132">
        <f t="shared" si="4"/>
        <v>18158335.725000001</v>
      </c>
      <c r="D40" s="132">
        <f t="shared" si="5"/>
        <v>4500479.1999999993</v>
      </c>
      <c r="E40" s="132">
        <f t="shared" si="2"/>
        <v>3539441.5</v>
      </c>
      <c r="F40" s="1"/>
      <c r="G40" s="27">
        <v>0</v>
      </c>
      <c r="H40" s="27">
        <v>0</v>
      </c>
      <c r="I40" s="27">
        <v>0</v>
      </c>
      <c r="J40" s="27">
        <v>0</v>
      </c>
      <c r="K40" s="27">
        <v>0</v>
      </c>
      <c r="L40" s="27">
        <v>0</v>
      </c>
      <c r="M40" s="27">
        <v>0</v>
      </c>
      <c r="N40" s="27">
        <v>0</v>
      </c>
      <c r="O40" s="19">
        <f>IFERROR(VLOOKUP($A40,'Parameter Values'!$A$78:$E$107,2,FALSE),'Parameter Values'!B$107)</f>
        <v>22000</v>
      </c>
      <c r="P40" s="19">
        <f>IFERROR(VLOOKUP($A40,'Parameter Values'!$A$78:$E$107,3,FALSE),'Parameter Values'!C$107)</f>
        <v>61500</v>
      </c>
      <c r="Q40" s="19">
        <f>IFERROR(VLOOKUP($A40,'Parameter Values'!$A$78:$E$107,4,FALSE),'Parameter Values'!D$107)</f>
        <v>1069000</v>
      </c>
      <c r="R40" s="19">
        <f>IFERROR(VLOOKUP($A40,'Parameter Values'!$A$78:$E$107,5,FALSE),'Parameter Values'!E$107)</f>
        <v>277.63357721031309</v>
      </c>
      <c r="S40" s="19">
        <f t="shared" si="0"/>
        <v>23990138.555</v>
      </c>
      <c r="T40" s="18">
        <f t="shared" si="1"/>
        <v>961037.69999999925</v>
      </c>
      <c r="AA40" s="13"/>
      <c r="AB40" s="482" t="s">
        <v>407</v>
      </c>
      <c r="AC40" s="483"/>
      <c r="AD40" s="482" t="s">
        <v>397</v>
      </c>
      <c r="AE40" s="483"/>
      <c r="AF40" s="239" t="s">
        <v>385</v>
      </c>
      <c r="AG40" s="484" t="s">
        <v>390</v>
      </c>
      <c r="AH40" s="478" t="s">
        <v>391</v>
      </c>
      <c r="AI40" s="478" t="s">
        <v>395</v>
      </c>
      <c r="AJ40" s="478" t="s">
        <v>400</v>
      </c>
      <c r="AK40" s="480" t="s">
        <v>421</v>
      </c>
      <c r="AL40" s="480" t="s">
        <v>509</v>
      </c>
      <c r="AM40" s="480" t="s">
        <v>405</v>
      </c>
      <c r="AN40" s="480" t="s">
        <v>402</v>
      </c>
      <c r="AO40" s="476" t="s">
        <v>510</v>
      </c>
      <c r="AP40" s="480" t="s">
        <v>406</v>
      </c>
      <c r="AQ40" s="476" t="s">
        <v>401</v>
      </c>
      <c r="AR40"/>
      <c r="AS40" s="491" t="s">
        <v>457</v>
      </c>
      <c r="AT40" s="493" t="s">
        <v>460</v>
      </c>
      <c r="AU40" s="495" t="s">
        <v>470</v>
      </c>
      <c r="AV40" s="495" t="s">
        <v>462</v>
      </c>
      <c r="AW40" s="533" t="s">
        <v>469</v>
      </c>
      <c r="AX40" s="493" t="s">
        <v>461</v>
      </c>
      <c r="AZ40"/>
      <c r="BB40"/>
      <c r="BC40"/>
      <c r="BD40"/>
      <c r="BE40"/>
      <c r="BF40"/>
      <c r="BG40"/>
      <c r="BH40"/>
      <c r="BI40"/>
      <c r="BJ40"/>
      <c r="BK40"/>
      <c r="BL40"/>
      <c r="BM40"/>
      <c r="BN40"/>
      <c r="BO40"/>
      <c r="BP40"/>
      <c r="BQ40"/>
      <c r="BR40"/>
      <c r="BS40"/>
      <c r="BT40"/>
      <c r="BU40"/>
      <c r="BV40" s="14"/>
    </row>
    <row r="41" spans="1:74" ht="15.75" thickBot="1" x14ac:dyDescent="0.3">
      <c r="A41" s="1">
        <f>IF(A40&lt;'Project Information'!B$11,A40+1,"")</f>
        <v>2036</v>
      </c>
      <c r="B41" s="132">
        <f t="shared" si="3"/>
        <v>42148474.280000001</v>
      </c>
      <c r="C41" s="132">
        <f t="shared" si="4"/>
        <v>18158335.725000001</v>
      </c>
      <c r="D41" s="132">
        <f t="shared" si="5"/>
        <v>4500479.1999999993</v>
      </c>
      <c r="E41" s="132">
        <f t="shared" si="2"/>
        <v>3539441.5</v>
      </c>
      <c r="F41" s="1"/>
      <c r="G41" s="27">
        <v>0</v>
      </c>
      <c r="H41" s="27">
        <v>0</v>
      </c>
      <c r="I41" s="27">
        <v>0</v>
      </c>
      <c r="J41" s="27">
        <v>0</v>
      </c>
      <c r="K41" s="27">
        <v>0</v>
      </c>
      <c r="L41" s="27">
        <v>0</v>
      </c>
      <c r="M41" s="27">
        <v>0</v>
      </c>
      <c r="N41" s="27">
        <v>0</v>
      </c>
      <c r="O41" s="19">
        <f>IFERROR(VLOOKUP($A41,'Parameter Values'!$A$78:$E$107,2,FALSE),'Parameter Values'!B$107)</f>
        <v>22000</v>
      </c>
      <c r="P41" s="19">
        <f>IFERROR(VLOOKUP($A41,'Parameter Values'!$A$78:$E$107,3,FALSE),'Parameter Values'!C$107)</f>
        <v>61500</v>
      </c>
      <c r="Q41" s="19">
        <f>IFERROR(VLOOKUP($A41,'Parameter Values'!$A$78:$E$107,4,FALSE),'Parameter Values'!D$107)</f>
        <v>1069000</v>
      </c>
      <c r="R41" s="19">
        <f>IFERROR(VLOOKUP($A41,'Parameter Values'!$A$78:$E$107,5,FALSE),'Parameter Values'!E$107)</f>
        <v>282.11153813306004</v>
      </c>
      <c r="S41" s="19">
        <f t="shared" si="0"/>
        <v>23990138.555</v>
      </c>
      <c r="T41" s="18">
        <f t="shared" si="1"/>
        <v>961037.69999999925</v>
      </c>
      <c r="AA41" s="15"/>
      <c r="AB41" s="218" t="s">
        <v>386</v>
      </c>
      <c r="AC41" s="219" t="s">
        <v>387</v>
      </c>
      <c r="AD41" s="218" t="s">
        <v>386</v>
      </c>
      <c r="AE41" s="226" t="s">
        <v>388</v>
      </c>
      <c r="AF41" s="230" t="s">
        <v>389</v>
      </c>
      <c r="AG41" s="485"/>
      <c r="AH41" s="479"/>
      <c r="AI41" s="479"/>
      <c r="AJ41" s="479"/>
      <c r="AK41" s="481"/>
      <c r="AL41" s="481"/>
      <c r="AM41" s="481"/>
      <c r="AN41" s="481"/>
      <c r="AO41" s="477"/>
      <c r="AP41" s="481"/>
      <c r="AQ41" s="477"/>
      <c r="AR41"/>
      <c r="AS41" s="492"/>
      <c r="AT41" s="494"/>
      <c r="AU41" s="496"/>
      <c r="AV41" s="496"/>
      <c r="AW41" s="534"/>
      <c r="AX41" s="494"/>
      <c r="AZ41"/>
      <c r="BB41"/>
      <c r="BC41"/>
      <c r="BD41"/>
      <c r="BE41"/>
      <c r="BF41"/>
      <c r="BG41"/>
      <c r="BH41"/>
      <c r="BI41"/>
      <c r="BJ41"/>
      <c r="BK41"/>
      <c r="BL41"/>
      <c r="BM41"/>
      <c r="BN41"/>
      <c r="BO41"/>
      <c r="BP41"/>
      <c r="BQ41"/>
      <c r="BR41"/>
      <c r="BS41"/>
      <c r="BT41"/>
      <c r="BU41"/>
      <c r="BV41" s="14"/>
    </row>
    <row r="42" spans="1:74" x14ac:dyDescent="0.25">
      <c r="A42" s="1">
        <f>IF(A41&lt;'Project Information'!B$11,A41+1,"")</f>
        <v>2037</v>
      </c>
      <c r="B42" s="132">
        <f t="shared" si="3"/>
        <v>42148474.280000001</v>
      </c>
      <c r="C42" s="132">
        <f t="shared" si="4"/>
        <v>18158335.725000001</v>
      </c>
      <c r="D42" s="132">
        <f t="shared" si="5"/>
        <v>4500479.1999999993</v>
      </c>
      <c r="E42" s="132">
        <f t="shared" si="2"/>
        <v>3539441.5</v>
      </c>
      <c r="F42" s="1"/>
      <c r="G42" s="27">
        <v>0</v>
      </c>
      <c r="H42" s="27">
        <v>0</v>
      </c>
      <c r="I42" s="27">
        <v>0</v>
      </c>
      <c r="J42" s="27">
        <v>0</v>
      </c>
      <c r="K42" s="27">
        <v>0</v>
      </c>
      <c r="L42" s="27">
        <v>0</v>
      </c>
      <c r="M42" s="27">
        <v>0</v>
      </c>
      <c r="N42" s="27">
        <v>0</v>
      </c>
      <c r="O42" s="19">
        <f>IFERROR(VLOOKUP($A42,'Parameter Values'!$A$78:$E$107,2,FALSE),'Parameter Values'!B$107)</f>
        <v>22000</v>
      </c>
      <c r="P42" s="19">
        <f>IFERROR(VLOOKUP($A42,'Parameter Values'!$A$78:$E$107,3,FALSE),'Parameter Values'!C$107)</f>
        <v>61500</v>
      </c>
      <c r="Q42" s="19">
        <f>IFERROR(VLOOKUP($A42,'Parameter Values'!$A$78:$E$107,4,FALSE),'Parameter Values'!D$107)</f>
        <v>1069000</v>
      </c>
      <c r="R42" s="19">
        <f>IFERROR(VLOOKUP($A42,'Parameter Values'!$A$78:$E$107,5,FALSE),'Parameter Values'!E$107)</f>
        <v>286.58949905580704</v>
      </c>
      <c r="S42" s="19">
        <f t="shared" si="0"/>
        <v>23990138.555</v>
      </c>
      <c r="T42" s="18">
        <f t="shared" si="1"/>
        <v>961037.69999999925</v>
      </c>
      <c r="AA42" s="13" t="s">
        <v>392</v>
      </c>
      <c r="AB42" s="220">
        <v>176</v>
      </c>
      <c r="AC42" s="221">
        <v>81</v>
      </c>
      <c r="AD42" s="227">
        <v>48</v>
      </c>
      <c r="AE42" s="221">
        <v>12</v>
      </c>
      <c r="AF42" s="231">
        <v>2</v>
      </c>
      <c r="AG42" s="220">
        <f>SUM(AB42:AF42)</f>
        <v>319</v>
      </c>
      <c r="AH42" s="242">
        <v>1.5</v>
      </c>
      <c r="AI42" s="234">
        <f>AH42*365</f>
        <v>547.5</v>
      </c>
      <c r="AJ42" s="234">
        <f>'Parameter Values'!$B$248</f>
        <v>40.5</v>
      </c>
      <c r="AK42" s="235">
        <f>AI42*AJ42</f>
        <v>22173.75</v>
      </c>
      <c r="AL42" s="235"/>
      <c r="AM42" s="235"/>
      <c r="AN42" s="235"/>
      <c r="AO42" s="235"/>
      <c r="AP42" s="235"/>
      <c r="AQ42" s="235"/>
      <c r="AR42"/>
      <c r="AS42" s="279" t="s">
        <v>458</v>
      </c>
      <c r="AT42" s="275">
        <f>'Parameter Values'!B250*365</f>
        <v>730</v>
      </c>
      <c r="AU42" s="275">
        <f>AT42*5</f>
        <v>3650</v>
      </c>
      <c r="AV42" s="275">
        <f>(AT42*'Parameter Values'!B248)/AG49</f>
        <v>2956.5</v>
      </c>
      <c r="AW42" s="283">
        <f>AT42*2</f>
        <v>1460</v>
      </c>
      <c r="AX42" s="272">
        <f>(AT42*'Parameter Values'!B248)/AG50</f>
        <v>1182.5999999999999</v>
      </c>
      <c r="AZ42"/>
      <c r="BB42"/>
      <c r="BC42"/>
      <c r="BD42"/>
      <c r="BE42"/>
      <c r="BF42"/>
      <c r="BG42"/>
      <c r="BH42"/>
      <c r="BI42"/>
      <c r="BJ42"/>
      <c r="BK42"/>
      <c r="BL42"/>
      <c r="BM42"/>
      <c r="BN42"/>
      <c r="BO42"/>
      <c r="BP42"/>
      <c r="BQ42"/>
      <c r="BR42"/>
      <c r="BS42"/>
      <c r="BT42"/>
      <c r="BU42"/>
      <c r="BV42" s="14"/>
    </row>
    <row r="43" spans="1:74" x14ac:dyDescent="0.25">
      <c r="A43" s="1">
        <f>IF(A42&lt;'Project Information'!B$11,A42+1,"")</f>
        <v>2038</v>
      </c>
      <c r="B43" s="132">
        <f t="shared" si="3"/>
        <v>42148474.280000001</v>
      </c>
      <c r="C43" s="132">
        <f t="shared" si="4"/>
        <v>18158335.725000001</v>
      </c>
      <c r="D43" s="132">
        <f t="shared" si="5"/>
        <v>4500479.1999999993</v>
      </c>
      <c r="E43" s="132">
        <f t="shared" si="2"/>
        <v>3539441.5</v>
      </c>
      <c r="F43" s="1"/>
      <c r="G43" s="27">
        <v>0</v>
      </c>
      <c r="H43" s="27">
        <v>0</v>
      </c>
      <c r="I43" s="27">
        <v>0</v>
      </c>
      <c r="J43" s="27">
        <v>0</v>
      </c>
      <c r="K43" s="27">
        <v>0</v>
      </c>
      <c r="L43" s="27">
        <v>0</v>
      </c>
      <c r="M43" s="27">
        <v>0</v>
      </c>
      <c r="N43" s="27">
        <v>0</v>
      </c>
      <c r="O43" s="19">
        <f>IFERROR(VLOOKUP($A43,'Parameter Values'!$A$78:$E$107,2,FALSE),'Parameter Values'!B$107)</f>
        <v>22000</v>
      </c>
      <c r="P43" s="19">
        <f>IFERROR(VLOOKUP($A43,'Parameter Values'!$A$78:$E$107,3,FALSE),'Parameter Values'!C$107)</f>
        <v>61500</v>
      </c>
      <c r="Q43" s="19">
        <f>IFERROR(VLOOKUP($A43,'Parameter Values'!$A$78:$E$107,4,FALSE),'Parameter Values'!D$107)</f>
        <v>1069000</v>
      </c>
      <c r="R43" s="19">
        <f>IFERROR(VLOOKUP($A43,'Parameter Values'!$A$78:$E$107,5,FALSE),'Parameter Values'!E$107)</f>
        <v>289.94796974786726</v>
      </c>
      <c r="S43" s="19">
        <f t="shared" si="0"/>
        <v>23990138.555</v>
      </c>
      <c r="T43" s="18">
        <f t="shared" si="1"/>
        <v>961037.69999999925</v>
      </c>
      <c r="AA43" s="216" t="s">
        <v>393</v>
      </c>
      <c r="AB43" s="222">
        <v>176</v>
      </c>
      <c r="AC43" s="223">
        <v>81</v>
      </c>
      <c r="AD43" s="228">
        <v>48</v>
      </c>
      <c r="AE43" s="223">
        <v>12</v>
      </c>
      <c r="AF43" s="232">
        <v>2</v>
      </c>
      <c r="AG43" s="222">
        <f>SUM(AB43:AF43)</f>
        <v>319</v>
      </c>
      <c r="AH43" s="243">
        <v>1.5</v>
      </c>
      <c r="AI43" s="217">
        <f>AH43*365</f>
        <v>547.5</v>
      </c>
      <c r="AJ43" s="217">
        <f>'Parameter Values'!$B$248</f>
        <v>40.5</v>
      </c>
      <c r="AK43" s="236">
        <f t="shared" ref="AK43" si="8">AI43*AJ43</f>
        <v>22173.75</v>
      </c>
      <c r="AL43" s="236"/>
      <c r="AM43" s="236"/>
      <c r="AN43" s="236"/>
      <c r="AO43" s="236"/>
      <c r="AP43" s="236"/>
      <c r="AQ43" s="236"/>
      <c r="AR43"/>
      <c r="AS43" s="280" t="s">
        <v>459</v>
      </c>
      <c r="AT43" s="276">
        <f>'Parameter Values'!B251*365</f>
        <v>730</v>
      </c>
      <c r="AU43" s="276">
        <f>AT43*5</f>
        <v>3650</v>
      </c>
      <c r="AV43" s="276">
        <f>(AT43*'Parameter Values'!B249)/AG50</f>
        <v>2969.64</v>
      </c>
      <c r="AW43" s="284">
        <f>AT43*2</f>
        <v>1460</v>
      </c>
      <c r="AX43" s="273">
        <f>(AT43*'Parameter Values'!B249)/AG51</f>
        <v>1856.0250000000001</v>
      </c>
      <c r="AZ43"/>
      <c r="BB43"/>
      <c r="BC43"/>
      <c r="BD43"/>
      <c r="BE43"/>
      <c r="BF43"/>
      <c r="BG43"/>
      <c r="BH43"/>
      <c r="BI43"/>
      <c r="BJ43"/>
      <c r="BK43"/>
      <c r="BL43"/>
      <c r="BM43"/>
      <c r="BN43"/>
      <c r="BO43"/>
      <c r="BP43"/>
      <c r="BQ43"/>
      <c r="BR43"/>
      <c r="BS43"/>
      <c r="BT43"/>
      <c r="BU43"/>
      <c r="BV43" s="14"/>
    </row>
    <row r="44" spans="1:74" x14ac:dyDescent="0.25">
      <c r="A44" s="1">
        <f>IF(A43&lt;'Project Information'!B$11,A43+1,"")</f>
        <v>2039</v>
      </c>
      <c r="B44" s="132">
        <f t="shared" si="3"/>
        <v>42148474.280000001</v>
      </c>
      <c r="C44" s="132">
        <f t="shared" si="4"/>
        <v>18158335.725000001</v>
      </c>
      <c r="D44" s="132">
        <f t="shared" si="5"/>
        <v>4500479.1999999993</v>
      </c>
      <c r="E44" s="132">
        <f t="shared" si="2"/>
        <v>3539441.5</v>
      </c>
      <c r="F44" s="1"/>
      <c r="G44" s="27">
        <v>0</v>
      </c>
      <c r="H44" s="27">
        <v>0</v>
      </c>
      <c r="I44" s="27">
        <v>0</v>
      </c>
      <c r="J44" s="27">
        <v>0</v>
      </c>
      <c r="K44" s="27">
        <v>0</v>
      </c>
      <c r="L44" s="27">
        <v>0</v>
      </c>
      <c r="M44" s="27">
        <v>0</v>
      </c>
      <c r="N44" s="27">
        <v>0</v>
      </c>
      <c r="O44" s="19">
        <f>IFERROR(VLOOKUP($A44,'Parameter Values'!$A$78:$E$107,2,FALSE),'Parameter Values'!B$107)</f>
        <v>22000</v>
      </c>
      <c r="P44" s="19">
        <f>IFERROR(VLOOKUP($A44,'Parameter Values'!$A$78:$E$107,3,FALSE),'Parameter Values'!C$107)</f>
        <v>61500</v>
      </c>
      <c r="Q44" s="19">
        <f>IFERROR(VLOOKUP($A44,'Parameter Values'!$A$78:$E$107,4,FALSE),'Parameter Values'!D$107)</f>
        <v>1069000</v>
      </c>
      <c r="R44" s="19">
        <f>IFERROR(VLOOKUP($A44,'Parameter Values'!$A$78:$E$107,5,FALSE),'Parameter Values'!E$107)</f>
        <v>294.43093067061398</v>
      </c>
      <c r="S44" s="19">
        <f t="shared" si="0"/>
        <v>23990138.555</v>
      </c>
      <c r="T44" s="18">
        <f t="shared" si="1"/>
        <v>961037.69999999925</v>
      </c>
      <c r="AA44" s="215" t="s">
        <v>394</v>
      </c>
      <c r="AB44" s="224">
        <f>SUM(AB42:AB43)</f>
        <v>352</v>
      </c>
      <c r="AC44" s="225">
        <f t="shared" ref="AC44:AK44" si="9">SUM(AC42:AC43)</f>
        <v>162</v>
      </c>
      <c r="AD44" s="229">
        <f t="shared" si="9"/>
        <v>96</v>
      </c>
      <c r="AE44" s="225">
        <f t="shared" si="9"/>
        <v>24</v>
      </c>
      <c r="AF44" s="233">
        <f t="shared" si="9"/>
        <v>4</v>
      </c>
      <c r="AG44" s="224">
        <f t="shared" si="9"/>
        <v>638</v>
      </c>
      <c r="AH44" s="244">
        <f t="shared" si="9"/>
        <v>3</v>
      </c>
      <c r="AI44" s="237">
        <f>SUM(AI42:AI43)</f>
        <v>1095</v>
      </c>
      <c r="AJ44" s="237">
        <f t="shared" si="9"/>
        <v>81</v>
      </c>
      <c r="AK44" s="238">
        <f t="shared" si="9"/>
        <v>44347.5</v>
      </c>
      <c r="AL44" s="238">
        <f>AG49</f>
        <v>10</v>
      </c>
      <c r="AM44" s="238">
        <f>5*AI44</f>
        <v>5475</v>
      </c>
      <c r="AN44" s="238">
        <f>(AI44*AJ44)/AL44</f>
        <v>8869.5</v>
      </c>
      <c r="AO44" s="238">
        <f>AG50</f>
        <v>25</v>
      </c>
      <c r="AP44" s="238">
        <f>2*AI44</f>
        <v>2190</v>
      </c>
      <c r="AQ44" s="238">
        <f>(AI44*AJ44)/AO44</f>
        <v>3547.8</v>
      </c>
      <c r="AR44"/>
      <c r="AS44" s="281" t="s">
        <v>394</v>
      </c>
      <c r="AT44" s="277">
        <f>SUM(AT42:AT43)</f>
        <v>1460</v>
      </c>
      <c r="AU44" s="277">
        <f>SUM(AU42:AU43)</f>
        <v>7300</v>
      </c>
      <c r="AV44" s="277">
        <f>SUM(AV42:AV43)</f>
        <v>5926.1399999999994</v>
      </c>
      <c r="AW44" s="285">
        <f>SUM(AW42:AW43)</f>
        <v>2920</v>
      </c>
      <c r="AX44" s="274">
        <f>SUM(AX42:AX43)</f>
        <v>3038.625</v>
      </c>
      <c r="AZ44"/>
      <c r="BB44"/>
      <c r="BC44"/>
      <c r="BD44"/>
      <c r="BE44"/>
      <c r="BF44"/>
      <c r="BG44"/>
      <c r="BH44"/>
      <c r="BI44"/>
      <c r="BJ44"/>
      <c r="BK44"/>
      <c r="BL44"/>
      <c r="BM44"/>
      <c r="BN44"/>
      <c r="BO44"/>
      <c r="BP44"/>
      <c r="BQ44"/>
      <c r="BR44"/>
      <c r="BS44"/>
      <c r="BT44"/>
      <c r="BU44"/>
      <c r="BV44" s="14"/>
    </row>
    <row r="45" spans="1:74" x14ac:dyDescent="0.25">
      <c r="A45" s="1">
        <f>IF(A44&lt;'Project Information'!B$11,A44+1,"")</f>
        <v>2040</v>
      </c>
      <c r="B45" s="132">
        <f t="shared" si="3"/>
        <v>42148474.280000001</v>
      </c>
      <c r="C45" s="132">
        <f t="shared" si="4"/>
        <v>18158335.725000001</v>
      </c>
      <c r="D45" s="132">
        <f t="shared" si="5"/>
        <v>4500479.1999999993</v>
      </c>
      <c r="E45" s="132">
        <f t="shared" si="2"/>
        <v>3539441.5</v>
      </c>
      <c r="F45" s="1"/>
      <c r="G45" s="27">
        <v>0</v>
      </c>
      <c r="H45" s="27">
        <v>0</v>
      </c>
      <c r="I45" s="27">
        <v>0</v>
      </c>
      <c r="J45" s="27">
        <v>0</v>
      </c>
      <c r="K45" s="27">
        <v>0</v>
      </c>
      <c r="L45" s="27">
        <v>0</v>
      </c>
      <c r="M45" s="27">
        <v>0</v>
      </c>
      <c r="N45" s="27">
        <v>0</v>
      </c>
      <c r="O45" s="19">
        <f>IFERROR(VLOOKUP($A45,'Parameter Values'!$A$78:$E$107,2,FALSE),'Parameter Values'!B$107)</f>
        <v>22000</v>
      </c>
      <c r="P45" s="19">
        <f>IFERROR(VLOOKUP($A45,'Parameter Values'!$A$78:$E$107,3,FALSE),'Parameter Values'!C$107)</f>
        <v>61500</v>
      </c>
      <c r="Q45" s="19">
        <f>IFERROR(VLOOKUP($A45,'Parameter Values'!$A$78:$E$107,4,FALSE),'Parameter Values'!D$107)</f>
        <v>1069000</v>
      </c>
      <c r="R45" s="19">
        <f>IFERROR(VLOOKUP($A45,'Parameter Values'!$A$78:$E$107,5,FALSE),'Parameter Values'!E$107)</f>
        <v>298.90389159336127</v>
      </c>
      <c r="S45" s="19">
        <f t="shared" si="0"/>
        <v>23990138.555</v>
      </c>
      <c r="T45" s="18">
        <f t="shared" si="1"/>
        <v>961037.69999999925</v>
      </c>
      <c r="AA45" s="13"/>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s="14"/>
    </row>
    <row r="46" spans="1:74" x14ac:dyDescent="0.25">
      <c r="A46" s="1">
        <f>IF(A45&lt;'Project Information'!B$11,A45+1,"")</f>
        <v>2041</v>
      </c>
      <c r="B46" s="132">
        <f t="shared" si="3"/>
        <v>42148474.280000001</v>
      </c>
      <c r="C46" s="132">
        <f t="shared" si="4"/>
        <v>18158335.725000001</v>
      </c>
      <c r="D46" s="132">
        <f t="shared" si="5"/>
        <v>4500479.1999999993</v>
      </c>
      <c r="E46" s="132">
        <f t="shared" si="2"/>
        <v>3539441.5</v>
      </c>
      <c r="F46" s="1"/>
      <c r="G46" s="27">
        <v>0</v>
      </c>
      <c r="H46" s="27">
        <v>0</v>
      </c>
      <c r="I46" s="27">
        <v>0</v>
      </c>
      <c r="J46" s="27">
        <v>0</v>
      </c>
      <c r="K46" s="27">
        <v>0</v>
      </c>
      <c r="L46" s="27">
        <v>0</v>
      </c>
      <c r="M46" s="27">
        <v>0</v>
      </c>
      <c r="N46" s="27">
        <v>0</v>
      </c>
      <c r="O46" s="19">
        <f>IFERROR(VLOOKUP($A46,'Parameter Values'!$A$78:$E$107,2,FALSE),'Parameter Values'!B$107)</f>
        <v>22000</v>
      </c>
      <c r="P46" s="19">
        <f>IFERROR(VLOOKUP($A46,'Parameter Values'!$A$78:$E$107,3,FALSE),'Parameter Values'!C$107)</f>
        <v>61500</v>
      </c>
      <c r="Q46" s="19">
        <f>IFERROR(VLOOKUP($A46,'Parameter Values'!$A$78:$E$107,4,FALSE),'Parameter Values'!D$107)</f>
        <v>1069000</v>
      </c>
      <c r="R46" s="19">
        <f>IFERROR(VLOOKUP($A46,'Parameter Values'!$A$78:$E$107,5,FALSE),'Parameter Values'!E$107)</f>
        <v>303.38185301610798</v>
      </c>
      <c r="S46" s="19">
        <f t="shared" si="0"/>
        <v>23990138.555</v>
      </c>
      <c r="T46" s="18">
        <f t="shared" si="1"/>
        <v>961037.69999999925</v>
      </c>
      <c r="AA46" s="13"/>
      <c r="AB46" s="249" t="s">
        <v>403</v>
      </c>
      <c r="AC46" s="249"/>
      <c r="AD46" s="249"/>
      <c r="AE46" s="249"/>
      <c r="AF46" s="249"/>
      <c r="AG46" s="249"/>
      <c r="AH46" s="249"/>
      <c r="AI46" s="249"/>
      <c r="AJ46" s="249"/>
      <c r="AK46" s="249"/>
      <c r="AL46" s="249"/>
      <c r="AM46" s="249"/>
      <c r="AN46" s="249"/>
      <c r="AO46"/>
      <c r="AP46"/>
      <c r="AQ46"/>
      <c r="AR46"/>
      <c r="AS46"/>
      <c r="AT46"/>
      <c r="AU46"/>
      <c r="AV46" s="299"/>
      <c r="AW46" s="302"/>
      <c r="AX46" s="302"/>
      <c r="AY46" s="302"/>
      <c r="AZ46"/>
      <c r="BA46"/>
      <c r="BB46"/>
      <c r="BC46"/>
      <c r="BD46"/>
      <c r="BE46"/>
      <c r="BF46"/>
      <c r="BG46"/>
      <c r="BH46"/>
      <c r="BI46"/>
      <c r="BJ46"/>
      <c r="BK46"/>
      <c r="BL46"/>
      <c r="BM46"/>
      <c r="BN46"/>
      <c r="BO46"/>
      <c r="BP46"/>
      <c r="BQ46"/>
      <c r="BR46"/>
      <c r="BS46"/>
      <c r="BT46"/>
      <c r="BU46"/>
      <c r="BV46" s="14"/>
    </row>
    <row r="47" spans="1:74" x14ac:dyDescent="0.25">
      <c r="A47" s="1">
        <f>IF(A46&lt;'Project Information'!B$11,A46+1,"")</f>
        <v>2042</v>
      </c>
      <c r="B47" s="132">
        <f t="shared" si="3"/>
        <v>42148474.280000001</v>
      </c>
      <c r="C47" s="132">
        <f t="shared" si="4"/>
        <v>18158335.725000001</v>
      </c>
      <c r="D47" s="132">
        <f t="shared" si="5"/>
        <v>4500479.1999999993</v>
      </c>
      <c r="E47" s="132">
        <f t="shared" si="2"/>
        <v>3539441.5</v>
      </c>
      <c r="F47" s="1"/>
      <c r="G47" s="27">
        <v>0</v>
      </c>
      <c r="H47" s="27">
        <v>0</v>
      </c>
      <c r="I47" s="27">
        <v>0</v>
      </c>
      <c r="J47" s="27">
        <v>0</v>
      </c>
      <c r="K47" s="27">
        <v>0</v>
      </c>
      <c r="L47" s="27">
        <v>0</v>
      </c>
      <c r="M47" s="27">
        <v>0</v>
      </c>
      <c r="N47" s="27">
        <v>0</v>
      </c>
      <c r="O47" s="19">
        <f>IFERROR(VLOOKUP($A47,'Parameter Values'!$A$78:$E$107,2,FALSE),'Parameter Values'!B$107)</f>
        <v>22000</v>
      </c>
      <c r="P47" s="19">
        <f>IFERROR(VLOOKUP($A47,'Parameter Values'!$A$78:$E$107,3,FALSE),'Parameter Values'!C$107)</f>
        <v>61500</v>
      </c>
      <c r="Q47" s="19">
        <f>IFERROR(VLOOKUP($A47,'Parameter Values'!$A$78:$E$107,4,FALSE),'Parameter Values'!D$107)</f>
        <v>1069000</v>
      </c>
      <c r="R47" s="19">
        <f>IFERROR(VLOOKUP($A47,'Parameter Values'!$A$78:$E$107,5,FALSE),'Parameter Values'!E$107)</f>
        <v>307.85981343885521</v>
      </c>
      <c r="S47" s="19">
        <f t="shared" si="0"/>
        <v>23990138.555</v>
      </c>
      <c r="T47" s="18">
        <f t="shared" si="1"/>
        <v>961037.69999999925</v>
      </c>
      <c r="AA47" s="13"/>
      <c r="AB47" s="190" t="s">
        <v>408</v>
      </c>
      <c r="AC47"/>
      <c r="AD47"/>
      <c r="AE47"/>
      <c r="AF47"/>
      <c r="AG47"/>
      <c r="AH47"/>
      <c r="AI47"/>
      <c r="AJ47"/>
      <c r="AK47"/>
      <c r="AL47"/>
      <c r="AM47"/>
      <c r="AN47"/>
      <c r="AO47"/>
      <c r="AP47"/>
      <c r="AQ47"/>
      <c r="AR47"/>
      <c r="AS47"/>
      <c r="AT47"/>
      <c r="AU47"/>
      <c r="AV47" s="299"/>
      <c r="AW47" s="300"/>
      <c r="AX47" s="301"/>
      <c r="AY47" s="300"/>
      <c r="AZ47"/>
      <c r="BA47"/>
      <c r="BB47"/>
      <c r="BC47"/>
      <c r="BD47"/>
      <c r="BE47"/>
      <c r="BF47"/>
      <c r="BG47"/>
      <c r="BH47"/>
      <c r="BI47"/>
      <c r="BJ47"/>
      <c r="BK47"/>
      <c r="BL47"/>
      <c r="BM47"/>
      <c r="BN47"/>
      <c r="BO47"/>
      <c r="BP47"/>
      <c r="BQ47"/>
      <c r="BR47"/>
      <c r="BS47"/>
      <c r="BT47"/>
      <c r="BU47"/>
      <c r="BV47" s="14"/>
    </row>
    <row r="48" spans="1:74" x14ac:dyDescent="0.25">
      <c r="A48" s="1">
        <f>IF(A47&lt;'Project Information'!B$11,A47+1,"")</f>
        <v>2043</v>
      </c>
      <c r="B48" s="132">
        <f t="shared" si="3"/>
        <v>42148474.280000001</v>
      </c>
      <c r="C48" s="132">
        <f t="shared" si="4"/>
        <v>18158335.725000001</v>
      </c>
      <c r="D48" s="132">
        <f t="shared" si="5"/>
        <v>4500479.1999999993</v>
      </c>
      <c r="E48" s="132">
        <f t="shared" si="2"/>
        <v>3539441.5</v>
      </c>
      <c r="F48" s="1"/>
      <c r="G48" s="27">
        <v>0</v>
      </c>
      <c r="H48" s="27">
        <v>0</v>
      </c>
      <c r="I48" s="27">
        <v>0</v>
      </c>
      <c r="J48" s="27">
        <v>0</v>
      </c>
      <c r="K48" s="27">
        <v>0</v>
      </c>
      <c r="L48" s="27">
        <v>0</v>
      </c>
      <c r="M48" s="27">
        <v>0</v>
      </c>
      <c r="N48" s="27">
        <v>0</v>
      </c>
      <c r="O48" s="19">
        <f>IFERROR(VLOOKUP($A48,'Parameter Values'!$A$78:$E$107,2,FALSE),'Parameter Values'!B$107)</f>
        <v>22000</v>
      </c>
      <c r="P48" s="19">
        <f>IFERROR(VLOOKUP($A48,'Parameter Values'!$A$78:$E$107,3,FALSE),'Parameter Values'!C$107)</f>
        <v>61500</v>
      </c>
      <c r="Q48" s="19">
        <f>IFERROR(VLOOKUP($A48,'Parameter Values'!$A$78:$E$107,4,FALSE),'Parameter Values'!D$107)</f>
        <v>1069000</v>
      </c>
      <c r="R48" s="19">
        <f>IFERROR(VLOOKUP($A48,'Parameter Values'!$A$78:$E$107,5,FALSE),'Parameter Values'!E$107)</f>
        <v>312.33777436160221</v>
      </c>
      <c r="S48" s="19">
        <f t="shared" si="0"/>
        <v>23990138.555</v>
      </c>
      <c r="T48" s="18">
        <f t="shared" si="1"/>
        <v>961037.69999999925</v>
      </c>
      <c r="AA48" s="13"/>
      <c r="AB48" s="248" t="s">
        <v>543</v>
      </c>
      <c r="AC48"/>
      <c r="AD48"/>
      <c r="AE48"/>
      <c r="AF48"/>
      <c r="AG48"/>
      <c r="AH48"/>
      <c r="AI48"/>
      <c r="AJ48"/>
      <c r="AK48"/>
      <c r="AL48"/>
      <c r="AM48"/>
      <c r="AN48"/>
      <c r="AO48"/>
      <c r="AP48"/>
      <c r="AQ48"/>
      <c r="AR48"/>
      <c r="AS48"/>
      <c r="AT48"/>
      <c r="AU48"/>
      <c r="AV48" s="299"/>
      <c r="AW48" s="300"/>
      <c r="AX48" s="301"/>
      <c r="AY48" s="300"/>
      <c r="AZ48"/>
      <c r="BA48"/>
      <c r="BB48"/>
      <c r="BC48"/>
      <c r="BD48"/>
      <c r="BE48"/>
      <c r="BF48"/>
      <c r="BG48"/>
      <c r="BH48"/>
      <c r="BI48"/>
      <c r="BJ48"/>
      <c r="BK48"/>
      <c r="BL48"/>
      <c r="BM48"/>
      <c r="BN48"/>
      <c r="BO48"/>
      <c r="BP48"/>
      <c r="BQ48"/>
      <c r="BR48"/>
      <c r="BS48"/>
      <c r="BT48"/>
      <c r="BU48"/>
      <c r="BV48" s="14"/>
    </row>
    <row r="49" spans="1:74" x14ac:dyDescent="0.25">
      <c r="A49" s="1">
        <f>IF(A48&lt;'Project Information'!B$11,A48+1,"")</f>
        <v>2044</v>
      </c>
      <c r="B49" s="132">
        <f t="shared" si="3"/>
        <v>42148474.280000001</v>
      </c>
      <c r="C49" s="132">
        <f t="shared" si="4"/>
        <v>18158335.725000001</v>
      </c>
      <c r="D49" s="132">
        <f t="shared" si="5"/>
        <v>4500479.1999999993</v>
      </c>
      <c r="E49" s="132">
        <f t="shared" si="2"/>
        <v>3539441.5</v>
      </c>
      <c r="F49" s="1"/>
      <c r="G49" s="27">
        <v>0</v>
      </c>
      <c r="H49" s="27">
        <v>0</v>
      </c>
      <c r="I49" s="27">
        <v>0</v>
      </c>
      <c r="J49" s="27">
        <v>0</v>
      </c>
      <c r="K49" s="27">
        <v>0</v>
      </c>
      <c r="L49" s="27">
        <v>0</v>
      </c>
      <c r="M49" s="27">
        <v>0</v>
      </c>
      <c r="N49" s="27">
        <v>0</v>
      </c>
      <c r="O49" s="19">
        <f>IFERROR(VLOOKUP($A49,'Parameter Values'!$A$78:$E$107,2,FALSE),'Parameter Values'!B$107)</f>
        <v>22000</v>
      </c>
      <c r="P49" s="19">
        <f>IFERROR(VLOOKUP($A49,'Parameter Values'!$A$78:$E$107,3,FALSE),'Parameter Values'!C$107)</f>
        <v>61500</v>
      </c>
      <c r="Q49" s="19">
        <f>IFERROR(VLOOKUP($A49,'Parameter Values'!$A$78:$E$107,4,FALSE),'Parameter Values'!D$107)</f>
        <v>1069000</v>
      </c>
      <c r="R49" s="19">
        <f>IFERROR(VLOOKUP($A49,'Parameter Values'!$A$78:$E$107,5,FALSE),'Parameter Values'!E$107)</f>
        <v>316.81573528434916</v>
      </c>
      <c r="S49" s="19">
        <f t="shared" si="0"/>
        <v>23990138.555</v>
      </c>
      <c r="T49" s="18">
        <f t="shared" si="1"/>
        <v>961037.69999999925</v>
      </c>
      <c r="AA49" s="13"/>
      <c r="AB49" s="248" t="s">
        <v>542</v>
      </c>
      <c r="AC49"/>
      <c r="AD49"/>
      <c r="AE49"/>
      <c r="AF49"/>
      <c r="AG49" s="439">
        <v>10</v>
      </c>
      <c r="AH49" s="248" t="s">
        <v>539</v>
      </c>
      <c r="AI49"/>
      <c r="AJ49"/>
      <c r="AK49"/>
      <c r="AL49"/>
      <c r="AM49"/>
      <c r="AN49"/>
      <c r="AO49"/>
      <c r="AP49"/>
      <c r="AQ49"/>
      <c r="AR49"/>
      <c r="AS49"/>
      <c r="AT49"/>
      <c r="AU49"/>
      <c r="AV49" s="299"/>
      <c r="AW49" s="300"/>
      <c r="AX49" s="300"/>
      <c r="AY49" s="300"/>
      <c r="AZ49"/>
      <c r="BA49"/>
      <c r="BB49"/>
      <c r="BC49"/>
      <c r="BD49"/>
      <c r="BE49"/>
      <c r="BF49"/>
      <c r="BG49"/>
      <c r="BH49"/>
      <c r="BI49"/>
      <c r="BJ49"/>
      <c r="BK49"/>
      <c r="BL49"/>
      <c r="BM49"/>
      <c r="BN49"/>
      <c r="BO49"/>
      <c r="BP49"/>
      <c r="BQ49"/>
      <c r="BR49"/>
      <c r="BS49"/>
      <c r="BT49"/>
      <c r="BU49"/>
      <c r="BV49" s="14"/>
    </row>
    <row r="50" spans="1:74" x14ac:dyDescent="0.25">
      <c r="A50" s="1">
        <f>IF(A49&lt;'Project Information'!B$11,A49+1,"")</f>
        <v>2045</v>
      </c>
      <c r="B50" s="132">
        <f t="shared" si="3"/>
        <v>42148474.280000001</v>
      </c>
      <c r="C50" s="132">
        <f t="shared" si="4"/>
        <v>18158335.725000001</v>
      </c>
      <c r="D50" s="132">
        <f t="shared" si="5"/>
        <v>4500479.1999999993</v>
      </c>
      <c r="E50" s="132">
        <f t="shared" si="2"/>
        <v>3539441.5</v>
      </c>
      <c r="F50" s="1"/>
      <c r="G50" s="27">
        <v>0</v>
      </c>
      <c r="H50" s="27">
        <v>0</v>
      </c>
      <c r="I50" s="27">
        <v>0</v>
      </c>
      <c r="J50" s="27">
        <v>0</v>
      </c>
      <c r="K50" s="27">
        <v>0</v>
      </c>
      <c r="L50" s="27">
        <v>0</v>
      </c>
      <c r="M50" s="27">
        <v>0</v>
      </c>
      <c r="N50" s="27">
        <v>0</v>
      </c>
      <c r="O50" s="19">
        <f>IFERROR(VLOOKUP($A50,'Parameter Values'!$A$78:$E$107,2,FALSE),'Parameter Values'!B$107)</f>
        <v>22000</v>
      </c>
      <c r="P50" s="19">
        <f>IFERROR(VLOOKUP($A50,'Parameter Values'!$A$78:$E$107,3,FALSE),'Parameter Values'!C$107)</f>
        <v>61500</v>
      </c>
      <c r="Q50" s="19">
        <f>IFERROR(VLOOKUP($A50,'Parameter Values'!$A$78:$E$107,4,FALSE),'Parameter Values'!D$107)</f>
        <v>1069000</v>
      </c>
      <c r="R50" s="19">
        <f>IFERROR(VLOOKUP($A50,'Parameter Values'!$A$78:$E$107,5,FALSE),'Parameter Values'!E$107)</f>
        <v>321.29369620709616</v>
      </c>
      <c r="S50" s="19">
        <f t="shared" si="0"/>
        <v>23990138.555</v>
      </c>
      <c r="T50" s="18">
        <f t="shared" si="1"/>
        <v>961037.69999999925</v>
      </c>
      <c r="AA50" s="13"/>
      <c r="AB50"/>
      <c r="AC50" s="347"/>
      <c r="AD50" s="347"/>
      <c r="AE50"/>
      <c r="AF50"/>
      <c r="AG50" s="439">
        <v>25</v>
      </c>
      <c r="AH50" s="248" t="s">
        <v>541</v>
      </c>
      <c r="AI50"/>
      <c r="AJ50"/>
      <c r="AK50"/>
      <c r="AL50"/>
      <c r="AM50"/>
      <c r="AN50"/>
      <c r="AO50"/>
      <c r="AP50"/>
      <c r="AQ50"/>
      <c r="AR50"/>
      <c r="AS50"/>
      <c r="AT50"/>
      <c r="AU50"/>
      <c r="AV50" s="299"/>
      <c r="AW50" s="303"/>
      <c r="AX50" s="303"/>
      <c r="AY50" s="303"/>
      <c r="AZ50"/>
      <c r="BA50"/>
      <c r="BB50"/>
      <c r="BC50"/>
      <c r="BD50"/>
      <c r="BE50"/>
      <c r="BF50"/>
      <c r="BG50"/>
      <c r="BH50"/>
      <c r="BI50"/>
      <c r="BJ50"/>
      <c r="BK50"/>
      <c r="BL50"/>
      <c r="BM50"/>
      <c r="BN50"/>
      <c r="BO50"/>
      <c r="BP50"/>
      <c r="BQ50"/>
      <c r="BR50"/>
      <c r="BS50"/>
      <c r="BT50"/>
      <c r="BU50"/>
      <c r="BV50" s="14"/>
    </row>
    <row r="51" spans="1:74" x14ac:dyDescent="0.25">
      <c r="A51" s="1">
        <f>IF(A50&lt;'Project Information'!B$11,A50+1,"")</f>
        <v>2046</v>
      </c>
      <c r="B51" s="132">
        <f t="shared" si="3"/>
        <v>42148474.280000001</v>
      </c>
      <c r="C51" s="132">
        <f t="shared" si="4"/>
        <v>18158335.725000001</v>
      </c>
      <c r="D51" s="132">
        <f t="shared" si="5"/>
        <v>4500479.1999999993</v>
      </c>
      <c r="E51" s="132">
        <f t="shared" si="2"/>
        <v>3539441.5</v>
      </c>
      <c r="F51" s="1"/>
      <c r="G51" s="27">
        <v>0</v>
      </c>
      <c r="H51" s="27">
        <v>0</v>
      </c>
      <c r="I51" s="27">
        <v>0</v>
      </c>
      <c r="J51" s="27">
        <v>0</v>
      </c>
      <c r="K51" s="27">
        <v>0</v>
      </c>
      <c r="L51" s="27">
        <v>0</v>
      </c>
      <c r="M51" s="27">
        <v>0</v>
      </c>
      <c r="N51" s="27">
        <v>0</v>
      </c>
      <c r="O51" s="19">
        <f>IFERROR(VLOOKUP($A51,'Parameter Values'!$A$78:$E$107,2,FALSE),'Parameter Values'!B$107)</f>
        <v>22000</v>
      </c>
      <c r="P51" s="19">
        <f>IFERROR(VLOOKUP($A51,'Parameter Values'!$A$78:$E$107,3,FALSE),'Parameter Values'!C$107)</f>
        <v>61500</v>
      </c>
      <c r="Q51" s="19">
        <f>IFERROR(VLOOKUP($A51,'Parameter Values'!$A$78:$E$107,4,FALSE),'Parameter Values'!D$107)</f>
        <v>1069000</v>
      </c>
      <c r="R51" s="19">
        <f>IFERROR(VLOOKUP($A51,'Parameter Values'!$A$78:$E$107,5,FALSE),'Parameter Values'!E$107)</f>
        <v>330.77165712984299</v>
      </c>
      <c r="S51" s="19">
        <f t="shared" si="0"/>
        <v>23990138.555</v>
      </c>
      <c r="T51" s="18">
        <f t="shared" si="1"/>
        <v>961037.69999999925</v>
      </c>
      <c r="AA51" s="13"/>
      <c r="AB51"/>
      <c r="AC51"/>
      <c r="AD51"/>
      <c r="AE51"/>
      <c r="AF51"/>
      <c r="AG51" s="439">
        <v>40</v>
      </c>
      <c r="AH51" s="248" t="s">
        <v>540</v>
      </c>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s="14"/>
    </row>
    <row r="52" spans="1:74" x14ac:dyDescent="0.25">
      <c r="A52" s="1">
        <f>IF(A51&lt;'Project Information'!B$11,A51+1,"")</f>
        <v>2047</v>
      </c>
      <c r="B52" s="132">
        <f t="shared" si="3"/>
        <v>42148474.280000001</v>
      </c>
      <c r="C52" s="132">
        <f t="shared" si="4"/>
        <v>18158335.725000001</v>
      </c>
      <c r="D52" s="132">
        <f t="shared" si="5"/>
        <v>4500479.1999999993</v>
      </c>
      <c r="E52" s="132">
        <f t="shared" si="2"/>
        <v>3539441.5</v>
      </c>
      <c r="F52" s="1"/>
      <c r="G52" s="27">
        <v>0</v>
      </c>
      <c r="H52" s="27">
        <v>0</v>
      </c>
      <c r="I52" s="27">
        <v>0</v>
      </c>
      <c r="J52" s="27">
        <v>0</v>
      </c>
      <c r="K52" s="27">
        <v>0</v>
      </c>
      <c r="L52" s="27">
        <v>0</v>
      </c>
      <c r="M52" s="27">
        <v>0</v>
      </c>
      <c r="N52" s="27">
        <v>0</v>
      </c>
      <c r="O52" s="19">
        <f>IFERROR(VLOOKUP($A52,'Parameter Values'!$A$78:$E$107,2,FALSE),'Parameter Values'!B$107)</f>
        <v>22000</v>
      </c>
      <c r="P52" s="19">
        <f>IFERROR(VLOOKUP($A52,'Parameter Values'!$A$78:$E$107,3,FALSE),'Parameter Values'!C$107)</f>
        <v>61500</v>
      </c>
      <c r="Q52" s="19">
        <f>IFERROR(VLOOKUP($A52,'Parameter Values'!$A$78:$E$107,4,FALSE),'Parameter Values'!D$107)</f>
        <v>1069000</v>
      </c>
      <c r="R52" s="19">
        <f>IFERROR(VLOOKUP($A52,'Parameter Values'!$A$78:$E$107,5,FALSE),'Parameter Values'!E$107)</f>
        <v>331.36910828327689</v>
      </c>
      <c r="S52" s="19">
        <f t="shared" si="0"/>
        <v>23990138.555</v>
      </c>
      <c r="T52" s="18">
        <f t="shared" si="1"/>
        <v>961037.69999999925</v>
      </c>
      <c r="AA52" s="13"/>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s="14"/>
    </row>
    <row r="53" spans="1:74" x14ac:dyDescent="0.25">
      <c r="A53" s="1">
        <f>IF(A52&lt;'Project Information'!B$11,A52+1,"")</f>
        <v>2048</v>
      </c>
      <c r="B53" s="132">
        <f t="shared" si="3"/>
        <v>42148474.280000001</v>
      </c>
      <c r="C53" s="132">
        <f t="shared" si="4"/>
        <v>18158335.725000001</v>
      </c>
      <c r="D53" s="132">
        <f t="shared" si="5"/>
        <v>4500479.1999999993</v>
      </c>
      <c r="E53" s="132">
        <f t="shared" si="2"/>
        <v>3539441.5</v>
      </c>
      <c r="F53" s="1"/>
      <c r="G53" s="27">
        <v>0</v>
      </c>
      <c r="H53" s="27">
        <v>0</v>
      </c>
      <c r="I53" s="27">
        <v>0</v>
      </c>
      <c r="J53" s="27">
        <v>0</v>
      </c>
      <c r="K53" s="27">
        <v>0</v>
      </c>
      <c r="L53" s="27">
        <v>0</v>
      </c>
      <c r="M53" s="27">
        <v>0</v>
      </c>
      <c r="N53" s="27">
        <v>0</v>
      </c>
      <c r="O53" s="19">
        <f>IFERROR(VLOOKUP($A53,'Parameter Values'!$A$78:$E$107,2,FALSE),'Parameter Values'!B$107)</f>
        <v>22000</v>
      </c>
      <c r="P53" s="19">
        <f>IFERROR(VLOOKUP($A53,'Parameter Values'!$A$78:$E$107,3,FALSE),'Parameter Values'!C$107)</f>
        <v>61500</v>
      </c>
      <c r="Q53" s="19">
        <f>IFERROR(VLOOKUP($A53,'Parameter Values'!$A$78:$E$107,4,FALSE),'Parameter Values'!D$107)</f>
        <v>1069000</v>
      </c>
      <c r="R53" s="19">
        <f>IFERROR(VLOOKUP($A53,'Parameter Values'!$A$78:$E$107,5,FALSE),'Parameter Values'!E$107)</f>
        <v>335.84706920602389</v>
      </c>
      <c r="S53" s="19">
        <f t="shared" si="0"/>
        <v>23990138.555</v>
      </c>
      <c r="T53" s="18">
        <f t="shared" si="1"/>
        <v>961037.69999999925</v>
      </c>
      <c r="AA53" s="1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s="14"/>
    </row>
    <row r="54" spans="1:74" x14ac:dyDescent="0.25">
      <c r="A54" s="1">
        <f>IF(A53&lt;'Project Information'!B$11,A53+1,"")</f>
        <v>2049</v>
      </c>
      <c r="B54" s="132">
        <f t="shared" si="3"/>
        <v>42148474.280000001</v>
      </c>
      <c r="C54" s="132">
        <f t="shared" si="4"/>
        <v>18158335.725000001</v>
      </c>
      <c r="D54" s="132">
        <f t="shared" si="5"/>
        <v>4500479.1999999993</v>
      </c>
      <c r="E54" s="132">
        <f t="shared" si="2"/>
        <v>3539441.5</v>
      </c>
      <c r="F54" s="1"/>
      <c r="G54" s="27">
        <v>0</v>
      </c>
      <c r="H54" s="27">
        <v>0</v>
      </c>
      <c r="I54" s="27">
        <v>0</v>
      </c>
      <c r="J54" s="27">
        <v>0</v>
      </c>
      <c r="K54" s="27">
        <v>0</v>
      </c>
      <c r="L54" s="27">
        <v>0</v>
      </c>
      <c r="M54" s="27">
        <v>0</v>
      </c>
      <c r="N54" s="27">
        <v>0</v>
      </c>
      <c r="O54" s="19">
        <f>IFERROR(VLOOKUP($A54,'Parameter Values'!$A$78:$E$107,2,FALSE),'Parameter Values'!B$107)</f>
        <v>22000</v>
      </c>
      <c r="P54" s="19">
        <f>IFERROR(VLOOKUP($A54,'Parameter Values'!$A$78:$E$107,3,FALSE),'Parameter Values'!C$107)</f>
        <v>61500</v>
      </c>
      <c r="Q54" s="19">
        <f>IFERROR(VLOOKUP($A54,'Parameter Values'!$A$78:$E$107,4,FALSE),'Parameter Values'!D$107)</f>
        <v>1069000</v>
      </c>
      <c r="R54" s="19">
        <f>IFERROR(VLOOKUP($A54,'Parameter Values'!$A$78:$E$107,5,FALSE),'Parameter Values'!E$107)</f>
        <v>340.330030128771</v>
      </c>
      <c r="S54" s="19">
        <f t="shared" si="0"/>
        <v>23990138.555</v>
      </c>
      <c r="T54" s="18">
        <f t="shared" si="1"/>
        <v>961037.69999999925</v>
      </c>
      <c r="AA54" s="13"/>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s="14"/>
    </row>
    <row r="55" spans="1:74" x14ac:dyDescent="0.25">
      <c r="A55" s="1">
        <f>IF(A54&lt;'Project Information'!B$11,A54+1,"")</f>
        <v>2050</v>
      </c>
      <c r="B55" s="132">
        <f t="shared" si="3"/>
        <v>42148474.280000001</v>
      </c>
      <c r="C55" s="132">
        <f t="shared" si="4"/>
        <v>18158335.725000001</v>
      </c>
      <c r="D55" s="132">
        <f t="shared" si="5"/>
        <v>4500479.1999999993</v>
      </c>
      <c r="E55" s="132">
        <f t="shared" si="2"/>
        <v>3539441.5</v>
      </c>
      <c r="F55" s="1"/>
      <c r="G55" s="27">
        <v>0</v>
      </c>
      <c r="H55" s="27">
        <v>0</v>
      </c>
      <c r="I55" s="27">
        <v>0</v>
      </c>
      <c r="J55" s="27">
        <v>0</v>
      </c>
      <c r="K55" s="27">
        <v>0</v>
      </c>
      <c r="L55" s="27">
        <v>0</v>
      </c>
      <c r="M55" s="27">
        <v>0</v>
      </c>
      <c r="N55" s="27">
        <v>0</v>
      </c>
      <c r="O55" s="19">
        <f>IFERROR(VLOOKUP($A55,'Parameter Values'!$A$78:$E$107,2,FALSE),'Parameter Values'!B$107)</f>
        <v>22000</v>
      </c>
      <c r="P55" s="19">
        <f>IFERROR(VLOOKUP($A55,'Parameter Values'!$A$78:$E$107,3,FALSE),'Parameter Values'!C$107)</f>
        <v>61500</v>
      </c>
      <c r="Q55" s="19">
        <f>IFERROR(VLOOKUP($A55,'Parameter Values'!$A$78:$E$107,4,FALSE),'Parameter Values'!D$107)</f>
        <v>1069000</v>
      </c>
      <c r="R55" s="19">
        <f>IFERROR(VLOOKUP($A55,'Parameter Values'!$A$78:$E$107,5,FALSE),'Parameter Values'!E$107)</f>
        <v>344.80299105151784</v>
      </c>
      <c r="S55" s="19">
        <f t="shared" si="0"/>
        <v>23990138.555</v>
      </c>
      <c r="T55" s="18">
        <f t="shared" si="1"/>
        <v>961037.69999999925</v>
      </c>
      <c r="AA55" s="13"/>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s="14"/>
    </row>
    <row r="56" spans="1:74" x14ac:dyDescent="0.25">
      <c r="A56" s="1">
        <f>IF(A55&lt;'Project Information'!B$11,A55+1,"")</f>
        <v>2051</v>
      </c>
      <c r="B56" s="132">
        <f t="shared" si="3"/>
        <v>42148474.280000001</v>
      </c>
      <c r="C56" s="132">
        <f t="shared" si="4"/>
        <v>18158335.725000001</v>
      </c>
      <c r="D56" s="132">
        <f t="shared" si="5"/>
        <v>4500479.1999999993</v>
      </c>
      <c r="E56" s="132">
        <f t="shared" si="2"/>
        <v>3539441.5</v>
      </c>
      <c r="F56" s="1"/>
      <c r="G56" s="27">
        <v>0</v>
      </c>
      <c r="H56" s="27">
        <v>0</v>
      </c>
      <c r="I56" s="27">
        <v>0</v>
      </c>
      <c r="J56" s="27">
        <v>0</v>
      </c>
      <c r="K56" s="27">
        <v>0</v>
      </c>
      <c r="L56" s="27">
        <v>0</v>
      </c>
      <c r="M56" s="27">
        <v>0</v>
      </c>
      <c r="N56" s="27">
        <v>0</v>
      </c>
      <c r="O56" s="19">
        <f>IFERROR(VLOOKUP($A56,'Parameter Values'!$A$78:$E$107,2,FALSE),'Parameter Values'!B$107)</f>
        <v>22000</v>
      </c>
      <c r="P56" s="19">
        <f>IFERROR(VLOOKUP($A56,'Parameter Values'!$A$78:$E$107,3,FALSE),'Parameter Values'!C$107)</f>
        <v>61500</v>
      </c>
      <c r="Q56" s="19">
        <f>IFERROR(VLOOKUP($A56,'Parameter Values'!$A$78:$E$107,4,FALSE),'Parameter Values'!D$107)</f>
        <v>1069000</v>
      </c>
      <c r="R56" s="19">
        <f>IFERROR(VLOOKUP($A56,'Parameter Values'!$A$78:$E$107,5,FALSE),'Parameter Values'!E$107)</f>
        <v>349.28095197426484</v>
      </c>
      <c r="S56" s="19">
        <f t="shared" si="0"/>
        <v>23990138.555</v>
      </c>
      <c r="T56" s="18">
        <f t="shared" si="1"/>
        <v>961037.69999999925</v>
      </c>
      <c r="AA56" s="13"/>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s="14"/>
    </row>
    <row r="57" spans="1:74" x14ac:dyDescent="0.25">
      <c r="A57" s="1">
        <f>IF(A56&lt;'Project Information'!B$11,A56+1,"")</f>
        <v>2052</v>
      </c>
      <c r="B57" s="132">
        <f t="shared" si="3"/>
        <v>42148474.280000001</v>
      </c>
      <c r="C57" s="132">
        <f t="shared" si="4"/>
        <v>18158335.725000001</v>
      </c>
      <c r="D57" s="132">
        <f>(($AM$44+$AU$44)*$C$21)+(($AN$44+$AV$44)*$C$26)</f>
        <v>4500479.1999999993</v>
      </c>
      <c r="E57" s="132">
        <f t="shared" si="2"/>
        <v>3539441.5</v>
      </c>
      <c r="F57" s="1"/>
      <c r="G57" s="27">
        <v>0</v>
      </c>
      <c r="H57" s="27">
        <v>0</v>
      </c>
      <c r="I57" s="27">
        <v>0</v>
      </c>
      <c r="J57" s="27">
        <v>0</v>
      </c>
      <c r="K57" s="27">
        <v>0</v>
      </c>
      <c r="L57" s="27">
        <v>0</v>
      </c>
      <c r="M57" s="27">
        <v>0</v>
      </c>
      <c r="N57" s="27">
        <v>0</v>
      </c>
      <c r="O57" s="19">
        <f>IFERROR(VLOOKUP($A57,'Parameter Values'!$A$78:$E$107,2,FALSE),'Parameter Values'!B$107)</f>
        <v>22000</v>
      </c>
      <c r="P57" s="19">
        <f>IFERROR(VLOOKUP($A57,'Parameter Values'!$A$78:$E$107,3,FALSE),'Parameter Values'!C$107)</f>
        <v>61500</v>
      </c>
      <c r="Q57" s="19">
        <f>IFERROR(VLOOKUP($A57,'Parameter Values'!$A$78:$E$107,4,FALSE),'Parameter Values'!D$107)</f>
        <v>1069000</v>
      </c>
      <c r="R57" s="19">
        <f>IFERROR(VLOOKUP($A57,'Parameter Values'!$A$78:$E$107,5,FALSE),'Parameter Values'!E$107)</f>
        <v>349.28095197426484</v>
      </c>
      <c r="S57" s="19">
        <f t="shared" si="0"/>
        <v>23990138.555</v>
      </c>
      <c r="T57" s="18">
        <f t="shared" si="1"/>
        <v>961037.69999999925</v>
      </c>
      <c r="AA57" s="13"/>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s="14"/>
    </row>
    <row r="58" spans="1:74" x14ac:dyDescent="0.25">
      <c r="A58" s="1" t="str">
        <f>IF(A57&lt;'Project Information'!B$11,A57+1,"")</f>
        <v/>
      </c>
      <c r="B58" s="132">
        <v>0</v>
      </c>
      <c r="C58" s="132">
        <v>0</v>
      </c>
      <c r="D58" s="132">
        <v>0</v>
      </c>
      <c r="E58" s="133">
        <v>0</v>
      </c>
      <c r="F58" s="1"/>
      <c r="G58" s="27">
        <v>0</v>
      </c>
      <c r="H58" s="27">
        <v>0</v>
      </c>
      <c r="I58" s="27">
        <v>0</v>
      </c>
      <c r="J58" s="27">
        <v>0</v>
      </c>
      <c r="K58" s="27">
        <v>0</v>
      </c>
      <c r="L58" s="27">
        <v>0</v>
      </c>
      <c r="M58" s="27">
        <v>0</v>
      </c>
      <c r="N58" s="27">
        <v>0</v>
      </c>
      <c r="O58" s="19">
        <f>IFERROR(VLOOKUP($A58,'Parameter Values'!$A$78:$E$107,2,FALSE),'Parameter Values'!B$107)</f>
        <v>22000</v>
      </c>
      <c r="P58" s="19">
        <f>IFERROR(VLOOKUP($A58,'Parameter Values'!$A$78:$E$107,3,FALSE),'Parameter Values'!C$107)</f>
        <v>61500</v>
      </c>
      <c r="Q58" s="19">
        <f>IFERROR(VLOOKUP($A58,'Parameter Values'!$A$78:$E$107,4,FALSE),'Parameter Values'!D$107)</f>
        <v>1069000</v>
      </c>
      <c r="R58" s="19">
        <f>IFERROR(VLOOKUP($A58,'Parameter Values'!$A$78:$E$107,5,FALSE),'Parameter Values'!E$107)</f>
        <v>349.28095197426484</v>
      </c>
      <c r="S58" s="19">
        <f t="shared" si="0"/>
        <v>0</v>
      </c>
      <c r="T58" s="18">
        <f t="shared" si="1"/>
        <v>0</v>
      </c>
      <c r="AA58" s="13"/>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s="14"/>
    </row>
    <row r="59" spans="1:74" x14ac:dyDescent="0.25">
      <c r="A59" s="1" t="str">
        <f>IF(A58&lt;'Project Information'!B$11,A58+1,"")</f>
        <v/>
      </c>
      <c r="B59" s="132">
        <v>0</v>
      </c>
      <c r="C59" s="132">
        <v>0</v>
      </c>
      <c r="D59" s="132">
        <v>0</v>
      </c>
      <c r="E59" s="133">
        <v>0</v>
      </c>
      <c r="F59" s="1"/>
      <c r="G59" s="27">
        <v>0</v>
      </c>
      <c r="H59" s="27">
        <v>0</v>
      </c>
      <c r="I59" s="27">
        <v>0</v>
      </c>
      <c r="J59" s="27">
        <v>0</v>
      </c>
      <c r="K59" s="27">
        <v>0</v>
      </c>
      <c r="L59" s="27">
        <v>0</v>
      </c>
      <c r="M59" s="27">
        <v>0</v>
      </c>
      <c r="N59" s="27">
        <v>0</v>
      </c>
      <c r="O59" s="19">
        <f>IFERROR(VLOOKUP($A59,'Parameter Values'!$A$78:$E$107,2,FALSE),'Parameter Values'!B$107)</f>
        <v>22000</v>
      </c>
      <c r="P59" s="19">
        <f>IFERROR(VLOOKUP($A59,'Parameter Values'!$A$78:$E$107,3,FALSE),'Parameter Values'!C$107)</f>
        <v>61500</v>
      </c>
      <c r="Q59" s="19">
        <f>IFERROR(VLOOKUP($A59,'Parameter Values'!$A$78:$E$107,4,FALSE),'Parameter Values'!D$107)</f>
        <v>1069000</v>
      </c>
      <c r="R59" s="19">
        <f>IFERROR(VLOOKUP($A59,'Parameter Values'!$A$78:$E$107,5,FALSE),'Parameter Values'!E$107)</f>
        <v>349.28095197426484</v>
      </c>
      <c r="S59" s="19">
        <f t="shared" si="0"/>
        <v>0</v>
      </c>
      <c r="T59" s="18">
        <f t="shared" si="1"/>
        <v>0</v>
      </c>
      <c r="AA59" s="13"/>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s="14"/>
    </row>
    <row r="60" spans="1:74" x14ac:dyDescent="0.25">
      <c r="A60" s="1" t="str">
        <f>IF(A59&lt;'Project Information'!B$11,A59+1,"")</f>
        <v/>
      </c>
      <c r="B60" s="132">
        <v>0</v>
      </c>
      <c r="C60" s="132">
        <v>0</v>
      </c>
      <c r="D60" s="132">
        <v>0</v>
      </c>
      <c r="E60" s="133">
        <v>0</v>
      </c>
      <c r="F60" s="1"/>
      <c r="G60" s="27">
        <v>0</v>
      </c>
      <c r="H60" s="27">
        <v>0</v>
      </c>
      <c r="I60" s="27">
        <v>0</v>
      </c>
      <c r="J60" s="27">
        <v>0</v>
      </c>
      <c r="K60" s="27">
        <v>0</v>
      </c>
      <c r="L60" s="27">
        <v>0</v>
      </c>
      <c r="M60" s="27">
        <v>0</v>
      </c>
      <c r="N60" s="27">
        <v>0</v>
      </c>
      <c r="O60" s="19">
        <f>IFERROR(VLOOKUP($A60,'Parameter Values'!$A$78:$E$107,2,FALSE),'Parameter Values'!B$107)</f>
        <v>22000</v>
      </c>
      <c r="P60" s="19">
        <f>IFERROR(VLOOKUP($A60,'Parameter Values'!$A$78:$E$107,3,FALSE),'Parameter Values'!C$107)</f>
        <v>61500</v>
      </c>
      <c r="Q60" s="19">
        <f>IFERROR(VLOOKUP($A60,'Parameter Values'!$A$78:$E$107,4,FALSE),'Parameter Values'!D$107)</f>
        <v>1069000</v>
      </c>
      <c r="R60" s="19">
        <f>IFERROR(VLOOKUP($A60,'Parameter Values'!$A$78:$E$107,5,FALSE),'Parameter Values'!E$107)</f>
        <v>349.28095197426484</v>
      </c>
      <c r="S60" s="19">
        <f t="shared" si="0"/>
        <v>0</v>
      </c>
      <c r="T60" s="18">
        <f t="shared" si="1"/>
        <v>0</v>
      </c>
      <c r="AA60" s="13"/>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s="14"/>
    </row>
    <row r="61" spans="1:74" x14ac:dyDescent="0.25">
      <c r="A61" s="1" t="str">
        <f>IF(A60&lt;'Project Information'!B$11,A60+1,"")</f>
        <v/>
      </c>
      <c r="B61" s="132">
        <v>0</v>
      </c>
      <c r="C61" s="132">
        <v>0</v>
      </c>
      <c r="D61" s="132">
        <v>0</v>
      </c>
      <c r="E61" s="133">
        <v>0</v>
      </c>
      <c r="F61" s="1"/>
      <c r="G61" s="27">
        <v>0</v>
      </c>
      <c r="H61" s="27">
        <v>0</v>
      </c>
      <c r="I61" s="27">
        <v>0</v>
      </c>
      <c r="J61" s="27">
        <v>0</v>
      </c>
      <c r="K61" s="27">
        <v>0</v>
      </c>
      <c r="L61" s="27">
        <v>0</v>
      </c>
      <c r="M61" s="27">
        <v>0</v>
      </c>
      <c r="N61" s="27">
        <v>0</v>
      </c>
      <c r="O61" s="19">
        <f>IFERROR(VLOOKUP($A61,'Parameter Values'!$A$78:$E$107,2,FALSE),'Parameter Values'!B$107)</f>
        <v>22000</v>
      </c>
      <c r="P61" s="19">
        <f>IFERROR(VLOOKUP($A61,'Parameter Values'!$A$78:$E$107,3,FALSE),'Parameter Values'!C$107)</f>
        <v>61500</v>
      </c>
      <c r="Q61" s="19">
        <f>IFERROR(VLOOKUP($A61,'Parameter Values'!$A$78:$E$107,4,FALSE),'Parameter Values'!D$107)</f>
        <v>1069000</v>
      </c>
      <c r="R61" s="19">
        <f>IFERROR(VLOOKUP($A61,'Parameter Values'!$A$78:$E$107,5,FALSE),'Parameter Values'!E$107)</f>
        <v>349.28095197426484</v>
      </c>
      <c r="S61" s="19">
        <f t="shared" si="0"/>
        <v>0</v>
      </c>
      <c r="T61" s="18">
        <f t="shared" si="1"/>
        <v>0</v>
      </c>
      <c r="AA61" s="13"/>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s="14"/>
    </row>
    <row r="62" spans="1:74" x14ac:dyDescent="0.25">
      <c r="A62" s="1" t="str">
        <f>IF(A61&lt;'Project Information'!B$11,A61+1,"")</f>
        <v/>
      </c>
      <c r="B62" s="134">
        <v>0</v>
      </c>
      <c r="C62" s="134">
        <v>0</v>
      </c>
      <c r="D62" s="134">
        <v>0</v>
      </c>
      <c r="E62" s="135">
        <v>0</v>
      </c>
      <c r="F62" s="2"/>
      <c r="G62" s="34">
        <v>0</v>
      </c>
      <c r="H62" s="34">
        <v>0</v>
      </c>
      <c r="I62" s="34">
        <v>0</v>
      </c>
      <c r="J62" s="34">
        <v>0</v>
      </c>
      <c r="K62" s="34">
        <v>0</v>
      </c>
      <c r="L62" s="34">
        <v>0</v>
      </c>
      <c r="M62" s="34">
        <v>0</v>
      </c>
      <c r="N62" s="23">
        <v>0</v>
      </c>
      <c r="O62" s="20">
        <f>IFERROR(VLOOKUP($A62,'Parameter Values'!$A$78:$E$107,2,FALSE),'Parameter Values'!B$107)</f>
        <v>22000</v>
      </c>
      <c r="P62" s="20">
        <f>IFERROR(VLOOKUP($A62,'Parameter Values'!$A$78:$E$107,3,FALSE),'Parameter Values'!C$107)</f>
        <v>61500</v>
      </c>
      <c r="Q62" s="20">
        <f>IFERROR(VLOOKUP($A62,'Parameter Values'!$A$78:$E$107,4,FALSE),'Parameter Values'!D$107)</f>
        <v>1069000</v>
      </c>
      <c r="R62" s="20">
        <f>IFERROR(VLOOKUP($A62,'Parameter Values'!$A$78:$E$107,5,FALSE),'Parameter Values'!E$107)</f>
        <v>349.28095197426484</v>
      </c>
      <c r="S62" s="19">
        <f t="shared" si="0"/>
        <v>0</v>
      </c>
      <c r="T62" s="18">
        <f t="shared" si="1"/>
        <v>0</v>
      </c>
      <c r="AA62" s="13"/>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s="14"/>
    </row>
    <row r="63" spans="1:74" x14ac:dyDescent="0.25">
      <c r="B63" s="36">
        <f>SUM(B33:B62)</f>
        <v>1025354160.1999996</v>
      </c>
      <c r="C63" s="36">
        <f t="shared" ref="C63:E63" si="10">SUM(C33:C62)</f>
        <v>453958393.12500018</v>
      </c>
      <c r="D63" s="36">
        <f t="shared" si="10"/>
        <v>109347868.00000004</v>
      </c>
      <c r="E63" s="36">
        <f t="shared" si="10"/>
        <v>85321925.5</v>
      </c>
      <c r="O63" s="191"/>
      <c r="P63" s="191"/>
      <c r="Q63" s="191"/>
      <c r="R63" s="191"/>
      <c r="S63" s="191">
        <f>SUM(S33:S62)</f>
        <v>571395767.07500005</v>
      </c>
      <c r="T63" s="191">
        <f>SUM(T33:T62)</f>
        <v>24025942.499999981</v>
      </c>
      <c r="U63" s="192"/>
      <c r="AA63" s="1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s="14"/>
    </row>
    <row r="64" spans="1:74" x14ac:dyDescent="0.25">
      <c r="AA64" s="13"/>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s="14"/>
    </row>
    <row r="65" spans="27:74" x14ac:dyDescent="0.25">
      <c r="AA65" s="13"/>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s="14"/>
    </row>
    <row r="66" spans="27:74" x14ac:dyDescent="0.25">
      <c r="AA66" s="13"/>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s="14"/>
    </row>
    <row r="67" spans="27:74" x14ac:dyDescent="0.25">
      <c r="AA67" s="13"/>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s="14"/>
    </row>
    <row r="68" spans="27:74" x14ac:dyDescent="0.25">
      <c r="AA68" s="13"/>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s="14"/>
    </row>
    <row r="69" spans="27:74" x14ac:dyDescent="0.25">
      <c r="AA69" s="13"/>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s="14"/>
    </row>
    <row r="70" spans="27:74" x14ac:dyDescent="0.25">
      <c r="AA70" s="13"/>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s="14"/>
    </row>
    <row r="71" spans="27:74" x14ac:dyDescent="0.25">
      <c r="AA71" s="13"/>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s="14"/>
    </row>
    <row r="72" spans="27:74" x14ac:dyDescent="0.25">
      <c r="AA72" s="13"/>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s="14"/>
    </row>
    <row r="73" spans="27:74" x14ac:dyDescent="0.25">
      <c r="AA73" s="1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s="14"/>
    </row>
    <row r="74" spans="27:74" x14ac:dyDescent="0.25">
      <c r="AA74" s="13"/>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s="14"/>
    </row>
    <row r="75" spans="27:74" x14ac:dyDescent="0.25">
      <c r="AA75" s="13"/>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s="14"/>
    </row>
    <row r="76" spans="27:74" x14ac:dyDescent="0.25">
      <c r="AA76" s="13"/>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s="14"/>
    </row>
    <row r="77" spans="27:74" x14ac:dyDescent="0.25">
      <c r="AA77" s="13"/>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s="14"/>
    </row>
    <row r="78" spans="27:74" x14ac:dyDescent="0.25">
      <c r="AA78" s="13"/>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s="14"/>
    </row>
    <row r="79" spans="27:74" x14ac:dyDescent="0.25">
      <c r="AA79" s="13"/>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s="14"/>
    </row>
    <row r="80" spans="27:74" x14ac:dyDescent="0.25">
      <c r="AA80" s="13"/>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s="14"/>
    </row>
    <row r="81" spans="27:74" x14ac:dyDescent="0.25">
      <c r="AA81" s="13"/>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s="14"/>
    </row>
    <row r="82" spans="27:74" x14ac:dyDescent="0.25">
      <c r="AA82" s="13"/>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s="14"/>
    </row>
    <row r="83" spans="27:74" x14ac:dyDescent="0.25">
      <c r="AA83" s="1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s="14"/>
    </row>
    <row r="84" spans="27:74" x14ac:dyDescent="0.25">
      <c r="AA84" s="13"/>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s="14"/>
    </row>
    <row r="85" spans="27:74" x14ac:dyDescent="0.25">
      <c r="AA85" s="13"/>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s="14"/>
    </row>
    <row r="86" spans="27:74" x14ac:dyDescent="0.25">
      <c r="AA86" s="13"/>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s="14"/>
    </row>
    <row r="87" spans="27:74" x14ac:dyDescent="0.25">
      <c r="AA87" s="13"/>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s="14"/>
    </row>
    <row r="88" spans="27:74" x14ac:dyDescent="0.25">
      <c r="AA88" s="13"/>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s="14"/>
    </row>
    <row r="89" spans="27:74" x14ac:dyDescent="0.25">
      <c r="AA89" s="13"/>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s="14"/>
    </row>
    <row r="90" spans="27:74" x14ac:dyDescent="0.25">
      <c r="AA90" s="13"/>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s="14"/>
    </row>
    <row r="91" spans="27:74" x14ac:dyDescent="0.25">
      <c r="AA91" s="13"/>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s="14"/>
    </row>
    <row r="92" spans="27:74" x14ac:dyDescent="0.25">
      <c r="AA92" s="13"/>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s="14"/>
    </row>
    <row r="93" spans="27:74" x14ac:dyDescent="0.25">
      <c r="AA93" s="1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s="14"/>
    </row>
    <row r="94" spans="27:74" x14ac:dyDescent="0.25">
      <c r="AA94" s="13"/>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s="14"/>
    </row>
    <row r="95" spans="27:74" x14ac:dyDescent="0.25">
      <c r="AA95" s="13"/>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s="14"/>
    </row>
    <row r="96" spans="27:74" x14ac:dyDescent="0.25">
      <c r="AA96" s="13"/>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s="14"/>
    </row>
    <row r="97" spans="27:74" x14ac:dyDescent="0.25">
      <c r="AA97" s="13"/>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s="14"/>
    </row>
    <row r="98" spans="27:74" x14ac:dyDescent="0.25">
      <c r="AA98" s="13"/>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s="14"/>
    </row>
    <row r="99" spans="27:74" x14ac:dyDescent="0.25">
      <c r="AA99" s="13"/>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s="14"/>
    </row>
    <row r="100" spans="27:74" x14ac:dyDescent="0.25">
      <c r="AA100" s="13"/>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s="14"/>
    </row>
    <row r="101" spans="27:74" x14ac:dyDescent="0.25">
      <c r="AA101" s="13"/>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s="14"/>
    </row>
    <row r="102" spans="27:74" x14ac:dyDescent="0.25">
      <c r="AA102" s="13"/>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s="14"/>
    </row>
    <row r="103" spans="27:74" x14ac:dyDescent="0.25">
      <c r="AA103" s="1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s="14"/>
    </row>
    <row r="104" spans="27:74" x14ac:dyDescent="0.25">
      <c r="AA104" s="13"/>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s="14"/>
    </row>
    <row r="105" spans="27:74" x14ac:dyDescent="0.25">
      <c r="AA105" s="13"/>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s="14"/>
    </row>
    <row r="106" spans="27:74" x14ac:dyDescent="0.25">
      <c r="AA106" s="13"/>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s="14"/>
    </row>
    <row r="107" spans="27:74" x14ac:dyDescent="0.25">
      <c r="AA107" s="13"/>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s="14"/>
    </row>
    <row r="108" spans="27:74" x14ac:dyDescent="0.25">
      <c r="AA108" s="13"/>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s="14"/>
    </row>
    <row r="109" spans="27:74" x14ac:dyDescent="0.25">
      <c r="AA109" s="13"/>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s="14"/>
    </row>
    <row r="110" spans="27:74" x14ac:dyDescent="0.25">
      <c r="AA110" s="13"/>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s="14"/>
    </row>
    <row r="111" spans="27:74" x14ac:dyDescent="0.25">
      <c r="AA111" s="13"/>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s="14"/>
    </row>
    <row r="112" spans="27:74" ht="15.75" thickBot="1" x14ac:dyDescent="0.3">
      <c r="AA112" s="15"/>
      <c r="AB112" s="16"/>
      <c r="AC112" s="16"/>
      <c r="AD112" s="16"/>
      <c r="AE112" s="16"/>
      <c r="AF112" s="16"/>
      <c r="AG112" s="16"/>
      <c r="AH112" s="16"/>
      <c r="AI112" s="16"/>
      <c r="AJ112" s="16"/>
      <c r="AK112" s="16"/>
      <c r="AL112" s="16"/>
      <c r="AM112" s="16"/>
      <c r="AN112" s="16"/>
      <c r="AO112" s="16"/>
      <c r="AP112" s="16"/>
      <c r="AQ112" s="16"/>
      <c r="AR112" s="16"/>
      <c r="AS112"/>
      <c r="AT112"/>
      <c r="AU112"/>
      <c r="AV112"/>
      <c r="AW112" s="16"/>
      <c r="AX112" s="16"/>
      <c r="AY112" s="16"/>
      <c r="AZ112" s="16"/>
      <c r="BA112" s="16"/>
      <c r="BB112" s="16"/>
      <c r="BC112" s="16"/>
      <c r="BD112" s="16"/>
      <c r="BE112" s="16"/>
      <c r="BF112" s="16"/>
      <c r="BG112" s="16"/>
      <c r="BH112" s="16"/>
      <c r="BI112" s="16"/>
      <c r="BJ112" s="16"/>
      <c r="BK112" s="16"/>
      <c r="BL112" s="16"/>
      <c r="BM112" s="16"/>
      <c r="BN112" s="16"/>
      <c r="BO112" s="16"/>
      <c r="BP112" s="16"/>
      <c r="BQ112" s="16"/>
      <c r="BR112" s="16"/>
      <c r="BS112" s="16"/>
      <c r="BT112" s="16"/>
      <c r="BU112" s="16"/>
      <c r="BV112" s="17"/>
    </row>
    <row r="113" spans="45:48" x14ac:dyDescent="0.25">
      <c r="AS113"/>
      <c r="AT113"/>
      <c r="AU113"/>
      <c r="AV113"/>
    </row>
    <row r="114" spans="45:48" ht="15.75" thickBot="1" x14ac:dyDescent="0.3">
      <c r="AS114" s="16"/>
      <c r="AT114" s="16"/>
      <c r="AU114" s="16"/>
      <c r="AV114" s="16"/>
    </row>
  </sheetData>
  <mergeCells count="37">
    <mergeCell ref="AK33:AK34"/>
    <mergeCell ref="AB40:AC40"/>
    <mergeCell ref="AD40:AE40"/>
    <mergeCell ref="AG40:AG41"/>
    <mergeCell ref="AH40:AH41"/>
    <mergeCell ref="AI40:AI41"/>
    <mergeCell ref="AJ40:AJ41"/>
    <mergeCell ref="AK40:AK41"/>
    <mergeCell ref="AB33:AC33"/>
    <mergeCell ref="AD33:AE33"/>
    <mergeCell ref="AG33:AG34"/>
    <mergeCell ref="AH33:AH34"/>
    <mergeCell ref="AI33:AI34"/>
    <mergeCell ref="AJ33:AJ34"/>
    <mergeCell ref="AQ40:AQ41"/>
    <mergeCell ref="AL33:AL34"/>
    <mergeCell ref="AN33:AN34"/>
    <mergeCell ref="AL40:AL41"/>
    <mergeCell ref="AN40:AN41"/>
    <mergeCell ref="AM33:AM34"/>
    <mergeCell ref="AM40:AM41"/>
    <mergeCell ref="AG32:AN32"/>
    <mergeCell ref="AG39:AQ39"/>
    <mergeCell ref="AU40:AU41"/>
    <mergeCell ref="AU33:AU34"/>
    <mergeCell ref="AS39:AX39"/>
    <mergeCell ref="AW40:AW41"/>
    <mergeCell ref="AS32:AV32"/>
    <mergeCell ref="AS33:AS34"/>
    <mergeCell ref="AT33:AT34"/>
    <mergeCell ref="AV33:AV34"/>
    <mergeCell ref="AS40:AS41"/>
    <mergeCell ref="AT40:AT41"/>
    <mergeCell ref="AV40:AV41"/>
    <mergeCell ref="AX40:AX41"/>
    <mergeCell ref="AP40:AP41"/>
    <mergeCell ref="AO40:AO41"/>
  </mergeCells>
  <conditionalFormatting sqref="B33:E62">
    <cfRule type="expression" dxfId="10" priority="1">
      <formula>$A33=""</formula>
    </cfRule>
  </conditionalFormatting>
  <conditionalFormatting sqref="G33:N62">
    <cfRule type="expression" dxfId="9" priority="2">
      <formula>$A33=""</formula>
    </cfRule>
  </conditionalFormatting>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F779B-5621-4FD7-9FF5-8762E5B5030F}">
  <sheetPr>
    <tabColor theme="9" tint="0.39997558519241921"/>
  </sheetPr>
  <dimension ref="A1:AS99"/>
  <sheetViews>
    <sheetView topLeftCell="K6" workbookViewId="0">
      <selection activeCell="Z33" sqref="Z33"/>
    </sheetView>
  </sheetViews>
  <sheetFormatPr defaultColWidth="9.140625" defaultRowHeight="15" x14ac:dyDescent="0.25"/>
  <cols>
    <col min="1" max="1" width="32" style="5" customWidth="1"/>
    <col min="2" max="2" width="24.42578125" style="5" customWidth="1"/>
    <col min="3" max="3" width="25.7109375" style="5" customWidth="1"/>
    <col min="4" max="4" width="24.42578125" style="5" customWidth="1"/>
    <col min="5" max="10" width="9.140625" style="5"/>
    <col min="11" max="11" width="10.28515625" style="5" customWidth="1"/>
    <col min="12" max="16" width="9.140625" style="5"/>
    <col min="17" max="22" width="15.140625" style="5" customWidth="1"/>
    <col min="23" max="23" width="9.140625" style="5"/>
    <col min="24" max="25" width="15.140625" style="5" customWidth="1"/>
    <col min="26" max="27" width="19.5703125" style="5" customWidth="1"/>
    <col min="28" max="39" width="9.140625" style="5"/>
    <col min="40" max="42" width="20" style="5" customWidth="1"/>
    <col min="43" max="16384" width="9.140625" style="5"/>
  </cols>
  <sheetData>
    <row r="1" spans="1:11" ht="20.25" thickBot="1" x14ac:dyDescent="0.35">
      <c r="A1" s="93" t="s">
        <v>349</v>
      </c>
    </row>
    <row r="2" spans="1:11" ht="15.75" thickTop="1" x14ac:dyDescent="0.25">
      <c r="A2" s="148" t="s">
        <v>238</v>
      </c>
      <c r="B2" s="148"/>
      <c r="C2" s="148"/>
      <c r="D2" s="148"/>
      <c r="E2" s="148"/>
      <c r="F2" s="148"/>
      <c r="G2" s="148"/>
      <c r="H2" s="148"/>
      <c r="I2" s="148"/>
    </row>
    <row r="3" spans="1:11" x14ac:dyDescent="0.25">
      <c r="A3" s="5" t="s">
        <v>198</v>
      </c>
    </row>
    <row r="4" spans="1:11" x14ac:dyDescent="0.25">
      <c r="A4" s="149" t="s">
        <v>257</v>
      </c>
      <c r="B4" s="148"/>
      <c r="C4" s="148"/>
      <c r="D4" s="148"/>
      <c r="E4" s="148"/>
      <c r="F4" s="148"/>
      <c r="G4" s="148"/>
      <c r="H4" s="148"/>
      <c r="I4" s="148"/>
      <c r="J4" s="148"/>
      <c r="K4" s="148"/>
    </row>
    <row r="5" spans="1:11" x14ac:dyDescent="0.25">
      <c r="A5" s="38" t="s">
        <v>198</v>
      </c>
    </row>
    <row r="6" spans="1:11" x14ac:dyDescent="0.25">
      <c r="A6" s="94" t="s">
        <v>239</v>
      </c>
    </row>
    <row r="7" spans="1:11" x14ac:dyDescent="0.25">
      <c r="A7" s="114" t="s">
        <v>142</v>
      </c>
      <c r="B7" s="156" t="s">
        <v>252</v>
      </c>
      <c r="C7" s="157" t="s">
        <v>253</v>
      </c>
      <c r="D7" s="158" t="s">
        <v>254</v>
      </c>
    </row>
    <row r="8" spans="1:11" x14ac:dyDescent="0.25">
      <c r="A8" s="43" t="str">
        <f>'Parameter Values'!A231</f>
        <v>Light-Duty Vehicles - Urban</v>
      </c>
      <c r="B8" s="139">
        <f>'Parameter Values'!B231</f>
        <v>0.13800000000000001</v>
      </c>
      <c r="C8" s="140">
        <f>'Parameter Values'!C231</f>
        <v>1.9E-3</v>
      </c>
      <c r="D8" s="138">
        <f>'Parameter Values'!D231</f>
        <v>1.7000000000000001E-2</v>
      </c>
    </row>
    <row r="9" spans="1:11" x14ac:dyDescent="0.25">
      <c r="A9" s="43" t="str">
        <f>'Parameter Values'!A232</f>
        <v>Light-Duty Vehicles - Rural</v>
      </c>
      <c r="B9" s="139">
        <f>'Parameter Values'!B232</f>
        <v>2.9000000000000001E-2</v>
      </c>
      <c r="C9" s="140">
        <f>'Parameter Values'!C232</f>
        <v>2.0000000000000001E-4</v>
      </c>
      <c r="D9" s="138">
        <f>'Parameter Values'!D232</f>
        <v>9.6000000000000002E-2</v>
      </c>
    </row>
    <row r="10" spans="1:11" x14ac:dyDescent="0.25">
      <c r="A10" s="43" t="str">
        <f>'Parameter Values'!A233</f>
        <v>Light-Duty Vehicles – All Locations</v>
      </c>
      <c r="B10" s="139">
        <f>'Parameter Values'!B233</f>
        <v>0.11600000000000001</v>
      </c>
      <c r="C10" s="140">
        <f>'Parameter Values'!C233</f>
        <v>1.1000000000000001E-3</v>
      </c>
      <c r="D10" s="138">
        <f>'Parameter Values'!D233</f>
        <v>0.04</v>
      </c>
    </row>
    <row r="11" spans="1:11" x14ac:dyDescent="0.25">
      <c r="A11" s="43" t="str">
        <f>'Parameter Values'!A234</f>
        <v>Buses and Trucks - Urban</v>
      </c>
      <c r="B11" s="139">
        <f>'Parameter Values'!B234</f>
        <v>0.34499999999999997</v>
      </c>
      <c r="C11" s="140">
        <f>'Parameter Values'!C234</f>
        <v>4.3700000000000003E-2</v>
      </c>
      <c r="D11" s="138">
        <f>'Parameter Values'!D234</f>
        <v>1.6E-2</v>
      </c>
    </row>
    <row r="12" spans="1:11" x14ac:dyDescent="0.25">
      <c r="A12" s="43" t="str">
        <f>'Parameter Values'!A235</f>
        <v>Buses and Trucks - Rural</v>
      </c>
      <c r="B12" s="139">
        <f>'Parameter Values'!B235</f>
        <v>7.4999999999999997E-2</v>
      </c>
      <c r="C12" s="140">
        <f>'Parameter Values'!C235</f>
        <v>3.7000000000000002E-3</v>
      </c>
      <c r="D12" s="138">
        <f>'Parameter Values'!D235</f>
        <v>2.7E-2</v>
      </c>
    </row>
    <row r="13" spans="1:11" x14ac:dyDescent="0.25">
      <c r="A13" s="43" t="str">
        <f>'Parameter Values'!A236</f>
        <v>Buses and Trucks – All Locations</v>
      </c>
      <c r="B13" s="139">
        <f>'Parameter Values'!B236</f>
        <v>0.23599999999999999</v>
      </c>
      <c r="C13" s="140">
        <f>'Parameter Values'!C236</f>
        <v>2.1999999999999999E-2</v>
      </c>
      <c r="D13" s="138">
        <f>'Parameter Values'!D236</f>
        <v>2.1000000000000001E-2</v>
      </c>
    </row>
    <row r="14" spans="1:11" x14ac:dyDescent="0.25">
      <c r="A14" s="43" t="str">
        <f>'Parameter Values'!A237</f>
        <v>All Vehicles - Urban</v>
      </c>
      <c r="B14" s="139">
        <f>'Parameter Values'!B237</f>
        <v>0.154</v>
      </c>
      <c r="C14" s="140">
        <f>'Parameter Values'!C237</f>
        <v>5.1000000000000004E-3</v>
      </c>
      <c r="D14" s="138">
        <f>'Parameter Values'!D237</f>
        <v>1.7000000000000001E-2</v>
      </c>
    </row>
    <row r="15" spans="1:11" x14ac:dyDescent="0.25">
      <c r="A15" s="43" t="str">
        <f>'Parameter Values'!A238</f>
        <v>All Vehicles - Rural</v>
      </c>
      <c r="B15" s="139">
        <f>'Parameter Values'!B238</f>
        <v>3.5999999999999997E-2</v>
      </c>
      <c r="C15" s="140">
        <f>'Parameter Values'!C238</f>
        <v>6.9999999999999999E-4</v>
      </c>
      <c r="D15" s="138">
        <f>'Parameter Values'!D238</f>
        <v>8.5999999999999993E-2</v>
      </c>
    </row>
    <row r="16" spans="1:11" x14ac:dyDescent="0.25">
      <c r="A16" s="43" t="str">
        <f>'Parameter Values'!A239</f>
        <v>All Vehicles – All Locations</v>
      </c>
      <c r="B16" s="139">
        <f>'Parameter Values'!B239</f>
        <v>0.128</v>
      </c>
      <c r="C16" s="140">
        <f>'Parameter Values'!C239</f>
        <v>3.0999999999999999E-3</v>
      </c>
      <c r="D16" s="138">
        <f>'Parameter Values'!D239</f>
        <v>3.7999999999999999E-2</v>
      </c>
    </row>
    <row r="17" spans="1:45" x14ac:dyDescent="0.25">
      <c r="A17" s="38" t="s">
        <v>198</v>
      </c>
    </row>
    <row r="18" spans="1:45" ht="15.75" thickBot="1" x14ac:dyDescent="0.3">
      <c r="A18" s="94" t="s">
        <v>255</v>
      </c>
    </row>
    <row r="19" spans="1:45" x14ac:dyDescent="0.25">
      <c r="A19" s="104" t="s">
        <v>4</v>
      </c>
      <c r="B19" s="105" t="s">
        <v>251</v>
      </c>
      <c r="C19" s="536" t="s">
        <v>467</v>
      </c>
      <c r="D19" s="537"/>
      <c r="F19" s="214" t="s">
        <v>410</v>
      </c>
      <c r="G19" s="11"/>
      <c r="H19" s="11"/>
      <c r="I19" s="11"/>
      <c r="J19" s="11"/>
      <c r="K19" s="11"/>
      <c r="L19" s="489" t="s">
        <v>463</v>
      </c>
      <c r="M19" s="489"/>
      <c r="N19" s="489"/>
      <c r="O19" s="489"/>
      <c r="P19" s="489"/>
      <c r="Q19" s="489"/>
      <c r="R19" s="489"/>
      <c r="S19" s="489"/>
      <c r="T19" s="11"/>
      <c r="U19" s="11"/>
      <c r="V19" s="11"/>
      <c r="W19" s="11"/>
      <c r="X19" s="490" t="s">
        <v>500</v>
      </c>
      <c r="Y19" s="490"/>
      <c r="Z19" s="490"/>
      <c r="AA19" s="490"/>
      <c r="AB19" s="11"/>
      <c r="AC19" s="11"/>
      <c r="AD19" s="11"/>
      <c r="AE19" s="11"/>
      <c r="AF19" s="11"/>
      <c r="AG19" s="11"/>
      <c r="AH19" s="11"/>
      <c r="AI19" s="11"/>
      <c r="AJ19" s="11"/>
      <c r="AK19" s="11"/>
      <c r="AL19" s="11"/>
      <c r="AM19" s="11"/>
      <c r="AN19" s="11"/>
      <c r="AO19" s="11"/>
      <c r="AP19" s="11"/>
      <c r="AQ19" s="11"/>
      <c r="AR19" s="11"/>
      <c r="AS19" s="12"/>
    </row>
    <row r="20" spans="1:45" ht="30" customHeight="1" x14ac:dyDescent="0.25">
      <c r="A20" s="6">
        <f>'Project Information'!$B$9</f>
        <v>2028</v>
      </c>
      <c r="B20" s="160">
        <v>0</v>
      </c>
      <c r="C20" s="536"/>
      <c r="D20" s="537"/>
      <c r="F20" s="13"/>
      <c r="G20" s="482" t="s">
        <v>398</v>
      </c>
      <c r="H20" s="483"/>
      <c r="I20" s="482" t="s">
        <v>396</v>
      </c>
      <c r="J20" s="483"/>
      <c r="K20" s="239" t="s">
        <v>385</v>
      </c>
      <c r="L20" s="484" t="s">
        <v>390</v>
      </c>
      <c r="M20" s="478" t="s">
        <v>391</v>
      </c>
      <c r="N20" s="478" t="s">
        <v>395</v>
      </c>
      <c r="O20" s="478" t="s">
        <v>400</v>
      </c>
      <c r="P20" s="480" t="s">
        <v>421</v>
      </c>
      <c r="Q20" s="480" t="s">
        <v>508</v>
      </c>
      <c r="R20" s="480" t="s">
        <v>414</v>
      </c>
      <c r="S20" s="480" t="s">
        <v>415</v>
      </c>
      <c r="T20"/>
      <c r="U20"/>
      <c r="V20"/>
      <c r="W20"/>
      <c r="X20" s="491" t="s">
        <v>457</v>
      </c>
      <c r="Y20" s="493" t="s">
        <v>460</v>
      </c>
      <c r="Z20" s="493" t="s">
        <v>462</v>
      </c>
      <c r="AA20"/>
      <c r="AB20"/>
      <c r="AC20"/>
      <c r="AD20"/>
      <c r="AE20"/>
      <c r="AF20"/>
      <c r="AG20"/>
      <c r="AH20"/>
      <c r="AI20"/>
      <c r="AJ20"/>
      <c r="AK20"/>
      <c r="AL20"/>
      <c r="AM20"/>
      <c r="AN20"/>
      <c r="AO20"/>
      <c r="AP20"/>
      <c r="AQ20"/>
      <c r="AR20"/>
      <c r="AS20" s="14"/>
    </row>
    <row r="21" spans="1:45" ht="15.75" customHeight="1" thickBot="1" x14ac:dyDescent="0.3">
      <c r="A21" s="1">
        <f>IF(A20&lt;'Project Information'!B$11,A20+1,"")</f>
        <v>2029</v>
      </c>
      <c r="B21" s="160">
        <v>0</v>
      </c>
      <c r="C21" s="536"/>
      <c r="D21" s="537"/>
      <c r="F21" s="15"/>
      <c r="G21" s="218" t="s">
        <v>386</v>
      </c>
      <c r="H21" s="219" t="s">
        <v>387</v>
      </c>
      <c r="I21" s="218" t="s">
        <v>386</v>
      </c>
      <c r="J21" s="226" t="s">
        <v>388</v>
      </c>
      <c r="K21" s="230" t="s">
        <v>389</v>
      </c>
      <c r="L21" s="485"/>
      <c r="M21" s="479"/>
      <c r="N21" s="479"/>
      <c r="O21" s="479"/>
      <c r="P21" s="481"/>
      <c r="Q21" s="481"/>
      <c r="R21" s="481"/>
      <c r="S21" s="481"/>
      <c r="T21"/>
      <c r="U21"/>
      <c r="V21"/>
      <c r="W21"/>
      <c r="X21" s="492"/>
      <c r="Y21" s="494"/>
      <c r="Z21" s="494"/>
      <c r="AA21"/>
      <c r="AB21"/>
      <c r="AC21"/>
      <c r="AD21"/>
      <c r="AE21"/>
      <c r="AF21"/>
      <c r="AG21"/>
      <c r="AH21"/>
      <c r="AI21"/>
      <c r="AJ21"/>
      <c r="AK21"/>
      <c r="AL21"/>
      <c r="AM21"/>
      <c r="AN21"/>
      <c r="AO21"/>
      <c r="AP21"/>
      <c r="AQ21"/>
      <c r="AR21"/>
      <c r="AS21" s="14"/>
    </row>
    <row r="22" spans="1:45" x14ac:dyDescent="0.25">
      <c r="A22" s="1">
        <f>IF(A21&lt;'Project Information'!B$11,A21+1,"")</f>
        <v>2030</v>
      </c>
      <c r="B22" s="160">
        <v>0</v>
      </c>
      <c r="F22" s="13" t="s">
        <v>392</v>
      </c>
      <c r="G22" s="220">
        <v>80</v>
      </c>
      <c r="H22" s="221">
        <v>27</v>
      </c>
      <c r="I22" s="227">
        <v>0</v>
      </c>
      <c r="J22" s="240">
        <v>6.4</v>
      </c>
      <c r="K22" s="231">
        <v>2</v>
      </c>
      <c r="L22" s="220">
        <f>SUM(G22:K22)</f>
        <v>115.4</v>
      </c>
      <c r="M22" s="242">
        <v>0.6</v>
      </c>
      <c r="N22" s="234">
        <f>M22*365</f>
        <v>219</v>
      </c>
      <c r="O22" s="234">
        <f>'Parameter Values'!$B$248</f>
        <v>40.5</v>
      </c>
      <c r="P22" s="235">
        <f>N22*O22</f>
        <v>8869.5</v>
      </c>
      <c r="Q22" s="235"/>
      <c r="R22" s="235"/>
      <c r="S22" s="235"/>
      <c r="T22"/>
      <c r="U22"/>
      <c r="V22"/>
      <c r="W22"/>
      <c r="X22" s="279" t="s">
        <v>458</v>
      </c>
      <c r="Y22" s="275">
        <f>'Parameter Values'!B250*365</f>
        <v>730</v>
      </c>
      <c r="Z22" s="272">
        <f>(Y22*'Parameter Values'!B248)/L35</f>
        <v>2956.5</v>
      </c>
      <c r="AA22"/>
      <c r="AB22"/>
      <c r="AC22"/>
      <c r="AD22"/>
      <c r="AE22"/>
      <c r="AF22"/>
      <c r="AG22"/>
      <c r="AH22"/>
      <c r="AI22"/>
      <c r="AJ22"/>
      <c r="AK22"/>
      <c r="AL22"/>
      <c r="AM22"/>
      <c r="AN22"/>
      <c r="AO22"/>
      <c r="AP22"/>
      <c r="AQ22"/>
      <c r="AR22"/>
      <c r="AS22" s="14"/>
    </row>
    <row r="23" spans="1:45" x14ac:dyDescent="0.25">
      <c r="A23" s="1">
        <f>IF(A22&lt;'Project Information'!B$11,A22+1,"")</f>
        <v>2031</v>
      </c>
      <c r="B23" s="160">
        <v>0</v>
      </c>
      <c r="F23" s="216" t="s">
        <v>393</v>
      </c>
      <c r="G23" s="222">
        <v>80</v>
      </c>
      <c r="H23" s="223">
        <v>27</v>
      </c>
      <c r="I23" s="228">
        <v>0</v>
      </c>
      <c r="J23" s="241">
        <v>6.4</v>
      </c>
      <c r="K23" s="232">
        <v>2</v>
      </c>
      <c r="L23" s="222">
        <f>SUM(G23:K23)</f>
        <v>115.4</v>
      </c>
      <c r="M23" s="243">
        <v>0.6</v>
      </c>
      <c r="N23" s="217">
        <f>M23*365</f>
        <v>219</v>
      </c>
      <c r="O23" s="217">
        <f>'Parameter Values'!$B$248</f>
        <v>40.5</v>
      </c>
      <c r="P23" s="236">
        <f t="shared" ref="P23" si="0">N23*O23</f>
        <v>8869.5</v>
      </c>
      <c r="Q23" s="236"/>
      <c r="R23" s="236"/>
      <c r="S23" s="236"/>
      <c r="T23"/>
      <c r="U23"/>
      <c r="V23"/>
      <c r="W23"/>
      <c r="X23" s="280" t="s">
        <v>459</v>
      </c>
      <c r="Y23" s="276">
        <f>'Parameter Values'!B251*365</f>
        <v>730</v>
      </c>
      <c r="Z23" s="273">
        <f>(Y23*'Parameter Values'!B249)/L36</f>
        <v>2969.64</v>
      </c>
      <c r="AA23"/>
      <c r="AB23"/>
      <c r="AC23"/>
      <c r="AD23"/>
      <c r="AE23"/>
      <c r="AF23"/>
      <c r="AG23"/>
      <c r="AH23"/>
      <c r="AI23"/>
      <c r="AJ23"/>
      <c r="AK23"/>
      <c r="AL23"/>
      <c r="AM23"/>
      <c r="AN23"/>
      <c r="AO23"/>
      <c r="AP23"/>
      <c r="AQ23"/>
      <c r="AR23"/>
      <c r="AS23" s="14"/>
    </row>
    <row r="24" spans="1:45" x14ac:dyDescent="0.25">
      <c r="A24" s="1">
        <f>IF(A23&lt;'Project Information'!B$11,A23+1,"")</f>
        <v>2032</v>
      </c>
      <c r="B24" s="160">
        <v>0</v>
      </c>
      <c r="F24" s="215" t="s">
        <v>394</v>
      </c>
      <c r="G24" s="224">
        <f>SUM(G22:G23)</f>
        <v>160</v>
      </c>
      <c r="H24" s="225">
        <f t="shared" ref="H24:P24" si="1">SUM(H22:H23)</f>
        <v>54</v>
      </c>
      <c r="I24" s="229">
        <f t="shared" si="1"/>
        <v>0</v>
      </c>
      <c r="J24" s="245">
        <f t="shared" si="1"/>
        <v>12.8</v>
      </c>
      <c r="K24" s="233">
        <f t="shared" si="1"/>
        <v>4</v>
      </c>
      <c r="L24" s="224">
        <f t="shared" si="1"/>
        <v>230.8</v>
      </c>
      <c r="M24" s="244">
        <f t="shared" si="1"/>
        <v>1.2</v>
      </c>
      <c r="N24" s="237">
        <f>SUM(N22:N23)</f>
        <v>438</v>
      </c>
      <c r="O24" s="237">
        <f t="shared" si="1"/>
        <v>81</v>
      </c>
      <c r="P24" s="238">
        <f t="shared" si="1"/>
        <v>17739</v>
      </c>
      <c r="Q24" s="238">
        <f>L36</f>
        <v>25</v>
      </c>
      <c r="R24" s="238">
        <f>5*N24</f>
        <v>2190</v>
      </c>
      <c r="S24" s="238">
        <f>(N24*O24)/Q24</f>
        <v>1419.12</v>
      </c>
      <c r="T24"/>
      <c r="U24"/>
      <c r="V24"/>
      <c r="W24"/>
      <c r="X24" s="281" t="s">
        <v>394</v>
      </c>
      <c r="Y24" s="277">
        <f>SUM(Y22:Y23)</f>
        <v>1460</v>
      </c>
      <c r="Z24" s="274">
        <f>SUM(Z22:Z23)</f>
        <v>5926.1399999999994</v>
      </c>
      <c r="AA24"/>
      <c r="AB24"/>
      <c r="AC24"/>
      <c r="AD24"/>
      <c r="AE24"/>
      <c r="AF24"/>
      <c r="AG24"/>
      <c r="AH24"/>
      <c r="AI24"/>
      <c r="AJ24"/>
      <c r="AK24"/>
      <c r="AL24"/>
      <c r="AM24"/>
      <c r="AN24"/>
      <c r="AO24"/>
      <c r="AP24"/>
      <c r="AQ24"/>
      <c r="AR24"/>
      <c r="AS24" s="14"/>
    </row>
    <row r="25" spans="1:45" ht="15.75" thickBot="1" x14ac:dyDescent="0.3">
      <c r="A25" s="1">
        <f>IF(A24&lt;'Project Information'!B$11,A24+1,"")</f>
        <v>2033</v>
      </c>
      <c r="B25" s="160">
        <v>0</v>
      </c>
      <c r="F25" s="13"/>
      <c r="G25" s="175"/>
      <c r="H25"/>
      <c r="I25"/>
      <c r="J25" s="174"/>
      <c r="K25"/>
      <c r="L25"/>
      <c r="M25"/>
      <c r="N25"/>
      <c r="O25"/>
      <c r="P25"/>
      <c r="Q25" s="213"/>
      <c r="R25"/>
      <c r="S25"/>
      <c r="T25"/>
      <c r="U25"/>
      <c r="V25"/>
      <c r="W25"/>
      <c r="X25" s="278"/>
      <c r="Y25" s="278"/>
      <c r="Z25" s="278"/>
      <c r="AA25"/>
      <c r="AB25"/>
      <c r="AC25"/>
      <c r="AD25"/>
      <c r="AE25"/>
      <c r="AF25"/>
      <c r="AG25"/>
      <c r="AH25"/>
      <c r="AI25"/>
      <c r="AJ25"/>
      <c r="AK25"/>
      <c r="AL25"/>
      <c r="AM25"/>
      <c r="AN25"/>
      <c r="AO25"/>
      <c r="AP25"/>
      <c r="AQ25"/>
      <c r="AR25"/>
      <c r="AS25" s="14"/>
    </row>
    <row r="26" spans="1:45" x14ac:dyDescent="0.25">
      <c r="A26" s="1">
        <f>IF(A25&lt;'Project Information'!B$11,A25+1,"")</f>
        <v>2034</v>
      </c>
      <c r="B26" s="160">
        <v>0</v>
      </c>
      <c r="F26" s="214" t="s">
        <v>409</v>
      </c>
      <c r="G26" s="11"/>
      <c r="H26" s="11"/>
      <c r="I26" s="11"/>
      <c r="J26" s="11"/>
      <c r="K26" s="11"/>
      <c r="L26" s="489" t="s">
        <v>463</v>
      </c>
      <c r="M26" s="489"/>
      <c r="N26" s="489"/>
      <c r="O26" s="489"/>
      <c r="P26" s="489"/>
      <c r="Q26" s="489"/>
      <c r="R26" s="489"/>
      <c r="S26" s="489"/>
      <c r="T26" s="489"/>
      <c r="U26" s="489"/>
      <c r="V26" s="489"/>
      <c r="W26"/>
      <c r="X26" s="490" t="s">
        <v>500</v>
      </c>
      <c r="Y26" s="490"/>
      <c r="Z26" s="490"/>
      <c r="AA26" s="490"/>
      <c r="AB26"/>
      <c r="AC26"/>
      <c r="AD26"/>
      <c r="AE26"/>
      <c r="AF26"/>
      <c r="AG26"/>
      <c r="AH26"/>
      <c r="AI26"/>
      <c r="AJ26"/>
      <c r="AK26"/>
      <c r="AL26"/>
      <c r="AM26"/>
      <c r="AN26"/>
      <c r="AO26"/>
      <c r="AP26"/>
      <c r="AQ26"/>
      <c r="AR26"/>
      <c r="AS26" s="14"/>
    </row>
    <row r="27" spans="1:45" ht="30" customHeight="1" x14ac:dyDescent="0.25">
      <c r="A27" s="1">
        <f>IF(A26&lt;'Project Information'!B$11,A26+1,"")</f>
        <v>2035</v>
      </c>
      <c r="B27" s="160">
        <v>0</v>
      </c>
      <c r="F27" s="13"/>
      <c r="G27" s="482" t="s">
        <v>407</v>
      </c>
      <c r="H27" s="483"/>
      <c r="I27" s="482" t="s">
        <v>397</v>
      </c>
      <c r="J27" s="483"/>
      <c r="K27" s="239" t="s">
        <v>385</v>
      </c>
      <c r="L27" s="484" t="s">
        <v>390</v>
      </c>
      <c r="M27" s="478" t="s">
        <v>391</v>
      </c>
      <c r="N27" s="478" t="s">
        <v>395</v>
      </c>
      <c r="O27" s="478" t="s">
        <v>400</v>
      </c>
      <c r="P27" s="480" t="s">
        <v>421</v>
      </c>
      <c r="Q27" s="480" t="s">
        <v>509</v>
      </c>
      <c r="R27" s="480" t="s">
        <v>405</v>
      </c>
      <c r="S27" s="480" t="s">
        <v>402</v>
      </c>
      <c r="T27" s="476" t="s">
        <v>510</v>
      </c>
      <c r="U27" s="480" t="s">
        <v>406</v>
      </c>
      <c r="V27" s="476" t="s">
        <v>401</v>
      </c>
      <c r="W27"/>
      <c r="X27" s="491" t="s">
        <v>457</v>
      </c>
      <c r="Y27" s="493" t="s">
        <v>460</v>
      </c>
      <c r="Z27" s="531" t="s">
        <v>462</v>
      </c>
      <c r="AA27" s="533" t="s">
        <v>461</v>
      </c>
      <c r="AB27"/>
      <c r="AC27"/>
      <c r="AD27"/>
      <c r="AE27"/>
      <c r="AF27"/>
      <c r="AG27"/>
      <c r="AH27"/>
      <c r="AI27"/>
      <c r="AJ27"/>
      <c r="AK27"/>
      <c r="AL27"/>
      <c r="AM27"/>
      <c r="AN27"/>
      <c r="AO27"/>
      <c r="AP27"/>
      <c r="AQ27"/>
      <c r="AR27"/>
      <c r="AS27" s="14"/>
    </row>
    <row r="28" spans="1:45" ht="15.75" customHeight="1" thickBot="1" x14ac:dyDescent="0.3">
      <c r="A28" s="1">
        <f>IF(A27&lt;'Project Information'!B$11,A27+1,"")</f>
        <v>2036</v>
      </c>
      <c r="B28" s="160">
        <v>0</v>
      </c>
      <c r="F28" s="15"/>
      <c r="G28" s="218" t="s">
        <v>386</v>
      </c>
      <c r="H28" s="219" t="s">
        <v>387</v>
      </c>
      <c r="I28" s="218" t="s">
        <v>386</v>
      </c>
      <c r="J28" s="226" t="s">
        <v>388</v>
      </c>
      <c r="K28" s="230" t="s">
        <v>389</v>
      </c>
      <c r="L28" s="485"/>
      <c r="M28" s="479"/>
      <c r="N28" s="479"/>
      <c r="O28" s="479"/>
      <c r="P28" s="481"/>
      <c r="Q28" s="481"/>
      <c r="R28" s="481"/>
      <c r="S28" s="481"/>
      <c r="T28" s="477"/>
      <c r="U28" s="481"/>
      <c r="V28" s="477"/>
      <c r="W28"/>
      <c r="X28" s="492"/>
      <c r="Y28" s="494"/>
      <c r="Z28" s="532"/>
      <c r="AA28" s="534"/>
      <c r="AB28"/>
      <c r="AC28"/>
      <c r="AD28"/>
      <c r="AE28"/>
      <c r="AF28"/>
      <c r="AG28"/>
      <c r="AH28"/>
      <c r="AI28"/>
      <c r="AJ28"/>
      <c r="AK28"/>
      <c r="AL28"/>
      <c r="AM28"/>
      <c r="AN28"/>
      <c r="AO28"/>
      <c r="AP28"/>
      <c r="AQ28"/>
      <c r="AR28"/>
      <c r="AS28" s="14"/>
    </row>
    <row r="29" spans="1:45" x14ac:dyDescent="0.25">
      <c r="A29" s="1">
        <f>IF(A28&lt;'Project Information'!B$11,A28+1,"")</f>
        <v>2037</v>
      </c>
      <c r="B29" s="160">
        <v>0</v>
      </c>
      <c r="F29" s="13" t="s">
        <v>392</v>
      </c>
      <c r="G29" s="220">
        <v>176</v>
      </c>
      <c r="H29" s="221">
        <v>81</v>
      </c>
      <c r="I29" s="227">
        <v>48</v>
      </c>
      <c r="J29" s="221">
        <v>12</v>
      </c>
      <c r="K29" s="231">
        <v>2</v>
      </c>
      <c r="L29" s="220">
        <f>SUM(G29:K29)</f>
        <v>319</v>
      </c>
      <c r="M29" s="242">
        <v>1.5</v>
      </c>
      <c r="N29" s="234">
        <f>M29*365</f>
        <v>547.5</v>
      </c>
      <c r="O29" s="234">
        <f>'Parameter Values'!$B$248</f>
        <v>40.5</v>
      </c>
      <c r="P29" s="235">
        <f>N29*O29</f>
        <v>22173.75</v>
      </c>
      <c r="Q29" s="235"/>
      <c r="R29" s="235"/>
      <c r="S29" s="235"/>
      <c r="T29" s="235"/>
      <c r="U29" s="235"/>
      <c r="V29" s="235"/>
      <c r="W29"/>
      <c r="X29" s="279" t="s">
        <v>458</v>
      </c>
      <c r="Y29" s="275">
        <f>'Parameter Values'!B250*365</f>
        <v>730</v>
      </c>
      <c r="Z29" s="275">
        <f>(Y29*'Parameter Values'!B248)/10</f>
        <v>2956.5</v>
      </c>
      <c r="AA29" s="283">
        <f>(Y29*'Parameter Values'!B248)/L36</f>
        <v>1182.5999999999999</v>
      </c>
      <c r="AB29"/>
      <c r="AC29"/>
      <c r="AD29"/>
      <c r="AE29"/>
      <c r="AF29"/>
      <c r="AG29"/>
      <c r="AH29"/>
      <c r="AI29"/>
      <c r="AJ29"/>
      <c r="AK29"/>
      <c r="AL29"/>
      <c r="AM29"/>
      <c r="AN29"/>
      <c r="AO29"/>
      <c r="AP29"/>
      <c r="AQ29"/>
      <c r="AR29"/>
      <c r="AS29" s="14"/>
    </row>
    <row r="30" spans="1:45" x14ac:dyDescent="0.25">
      <c r="A30" s="1">
        <f>IF(A29&lt;'Project Information'!B$11,A29+1,"")</f>
        <v>2038</v>
      </c>
      <c r="B30" s="160">
        <v>0</v>
      </c>
      <c r="F30" s="216" t="s">
        <v>393</v>
      </c>
      <c r="G30" s="222">
        <v>176</v>
      </c>
      <c r="H30" s="223">
        <v>81</v>
      </c>
      <c r="I30" s="228">
        <v>48</v>
      </c>
      <c r="J30" s="223">
        <v>12</v>
      </c>
      <c r="K30" s="232">
        <v>2</v>
      </c>
      <c r="L30" s="222">
        <f>SUM(G30:K30)</f>
        <v>319</v>
      </c>
      <c r="M30" s="243">
        <v>1.5</v>
      </c>
      <c r="N30" s="217">
        <f>M30*365</f>
        <v>547.5</v>
      </c>
      <c r="O30" s="217">
        <f>'Parameter Values'!$B$248</f>
        <v>40.5</v>
      </c>
      <c r="P30" s="236">
        <f t="shared" ref="P30" si="2">N30*O30</f>
        <v>22173.75</v>
      </c>
      <c r="Q30" s="236"/>
      <c r="R30" s="236"/>
      <c r="S30" s="236"/>
      <c r="T30" s="236"/>
      <c r="U30" s="236"/>
      <c r="V30" s="236"/>
      <c r="W30"/>
      <c r="X30" s="280" t="s">
        <v>459</v>
      </c>
      <c r="Y30" s="276">
        <f>'Parameter Values'!B251*365</f>
        <v>730</v>
      </c>
      <c r="Z30" s="276">
        <f>(Y30*'Parameter Values'!B249)/25</f>
        <v>2969.64</v>
      </c>
      <c r="AA30" s="284">
        <f>(Y30*'Parameter Values'!B249)/L37</f>
        <v>1856.0250000000001</v>
      </c>
      <c r="AB30"/>
      <c r="AC30"/>
      <c r="AD30"/>
      <c r="AE30"/>
      <c r="AF30"/>
      <c r="AG30"/>
      <c r="AH30"/>
      <c r="AI30"/>
      <c r="AJ30"/>
      <c r="AK30"/>
      <c r="AL30"/>
      <c r="AM30"/>
      <c r="AN30"/>
      <c r="AO30"/>
      <c r="AP30"/>
      <c r="AQ30"/>
      <c r="AR30"/>
      <c r="AS30" s="14"/>
    </row>
    <row r="31" spans="1:45" x14ac:dyDescent="0.25">
      <c r="A31" s="1">
        <f>IF(A30&lt;'Project Information'!B$11,A30+1,"")</f>
        <v>2039</v>
      </c>
      <c r="B31" s="160">
        <v>0</v>
      </c>
      <c r="F31" s="215" t="s">
        <v>394</v>
      </c>
      <c r="G31" s="224">
        <f>SUM(G29:G30)</f>
        <v>352</v>
      </c>
      <c r="H31" s="225">
        <f t="shared" ref="H31:P31" si="3">SUM(H29:H30)</f>
        <v>162</v>
      </c>
      <c r="I31" s="229">
        <f t="shared" si="3"/>
        <v>96</v>
      </c>
      <c r="J31" s="225">
        <f t="shared" si="3"/>
        <v>24</v>
      </c>
      <c r="K31" s="233">
        <f t="shared" si="3"/>
        <v>4</v>
      </c>
      <c r="L31" s="224">
        <f t="shared" si="3"/>
        <v>638</v>
      </c>
      <c r="M31" s="244">
        <f t="shared" si="3"/>
        <v>3</v>
      </c>
      <c r="N31" s="237">
        <f>SUM(N29:N30)</f>
        <v>1095</v>
      </c>
      <c r="O31" s="237">
        <f t="shared" si="3"/>
        <v>81</v>
      </c>
      <c r="P31" s="238">
        <f t="shared" si="3"/>
        <v>44347.5</v>
      </c>
      <c r="Q31" s="238">
        <f>L36</f>
        <v>25</v>
      </c>
      <c r="R31" s="238">
        <f>5*N31</f>
        <v>5475</v>
      </c>
      <c r="S31" s="238">
        <f>(N31*O31)/Q31</f>
        <v>3547.8</v>
      </c>
      <c r="T31" s="238">
        <f>L37</f>
        <v>40</v>
      </c>
      <c r="U31" s="238">
        <f>2*N31</f>
        <v>2190</v>
      </c>
      <c r="V31" s="238">
        <f>(N31*O31)/T31</f>
        <v>2217.375</v>
      </c>
      <c r="W31"/>
      <c r="X31" s="281" t="s">
        <v>394</v>
      </c>
      <c r="Y31" s="277">
        <f>SUM(Y29:Y30)</f>
        <v>1460</v>
      </c>
      <c r="Z31" s="277">
        <f>SUM(Z29:Z30)</f>
        <v>5926.1399999999994</v>
      </c>
      <c r="AA31" s="285">
        <f>SUM(AA29:AA30)</f>
        <v>3038.625</v>
      </c>
      <c r="AB31"/>
      <c r="AC31"/>
      <c r="AD31"/>
      <c r="AE31"/>
      <c r="AF31"/>
      <c r="AG31"/>
      <c r="AH31"/>
      <c r="AI31"/>
      <c r="AJ31"/>
      <c r="AK31"/>
      <c r="AL31"/>
      <c r="AM31"/>
      <c r="AN31"/>
      <c r="AO31"/>
      <c r="AP31"/>
      <c r="AQ31"/>
      <c r="AR31"/>
      <c r="AS31" s="14"/>
    </row>
    <row r="32" spans="1:45" x14ac:dyDescent="0.25">
      <c r="A32" s="1">
        <f>IF(A31&lt;'Project Information'!B$11,A31+1,"")</f>
        <v>2040</v>
      </c>
      <c r="B32" s="160">
        <v>0</v>
      </c>
      <c r="F32" s="13"/>
      <c r="G32"/>
      <c r="H32"/>
      <c r="I32"/>
      <c r="J32"/>
      <c r="K32"/>
      <c r="L32"/>
      <c r="M32"/>
      <c r="N32"/>
      <c r="O32"/>
      <c r="P32"/>
      <c r="Q32"/>
      <c r="R32"/>
      <c r="S32"/>
      <c r="T32"/>
      <c r="U32"/>
      <c r="V32"/>
      <c r="W32"/>
      <c r="X32"/>
      <c r="Y32"/>
      <c r="Z32"/>
      <c r="AA32"/>
      <c r="AB32"/>
      <c r="AC32"/>
      <c r="AD32"/>
      <c r="AE32"/>
      <c r="AF32"/>
      <c r="AG32"/>
      <c r="AH32"/>
      <c r="AI32"/>
      <c r="AJ32"/>
      <c r="AQ32"/>
      <c r="AR32"/>
      <c r="AS32" s="14"/>
    </row>
    <row r="33" spans="1:45" x14ac:dyDescent="0.25">
      <c r="A33" s="1">
        <f>IF(A32&lt;'Project Information'!B$11,A32+1,"")</f>
        <v>2041</v>
      </c>
      <c r="B33" s="160">
        <v>0</v>
      </c>
      <c r="F33" s="13"/>
      <c r="G33" s="190" t="s">
        <v>408</v>
      </c>
      <c r="H33"/>
      <c r="I33"/>
      <c r="J33"/>
      <c r="K33"/>
      <c r="L33"/>
      <c r="M33"/>
      <c r="N33"/>
      <c r="O33" s="249"/>
      <c r="P33" s="249"/>
      <c r="Q33" s="249"/>
      <c r="R33" s="249"/>
      <c r="S33" s="249"/>
      <c r="T33"/>
      <c r="U33"/>
      <c r="V33"/>
      <c r="W33"/>
      <c r="X33"/>
      <c r="Y33"/>
      <c r="Z33"/>
      <c r="AA33"/>
      <c r="AB33"/>
      <c r="AC33"/>
      <c r="AD33"/>
      <c r="AE33"/>
      <c r="AF33"/>
      <c r="AG33"/>
      <c r="AH33"/>
      <c r="AI33"/>
      <c r="AJ33"/>
      <c r="AQ33"/>
      <c r="AR33"/>
      <c r="AS33" s="14"/>
    </row>
    <row r="34" spans="1:45" x14ac:dyDescent="0.25">
      <c r="A34" s="1">
        <f>IF(A33&lt;'Project Information'!B$11,A33+1,"")</f>
        <v>2042</v>
      </c>
      <c r="B34" s="160">
        <v>0</v>
      </c>
      <c r="F34" s="13"/>
      <c r="G34" s="248" t="s">
        <v>543</v>
      </c>
      <c r="H34"/>
      <c r="I34"/>
      <c r="J34"/>
      <c r="K34"/>
      <c r="L34"/>
      <c r="M34"/>
      <c r="N34"/>
      <c r="O34"/>
      <c r="P34"/>
      <c r="Q34"/>
      <c r="R34"/>
      <c r="S34"/>
      <c r="T34"/>
      <c r="U34"/>
      <c r="V34"/>
      <c r="W34"/>
      <c r="X34"/>
      <c r="Y34"/>
      <c r="Z34"/>
      <c r="AA34"/>
      <c r="AB34"/>
      <c r="AC34"/>
      <c r="AD34"/>
      <c r="AE34"/>
      <c r="AF34"/>
      <c r="AG34"/>
      <c r="AH34"/>
      <c r="AI34"/>
      <c r="AJ34"/>
      <c r="AQ34"/>
      <c r="AR34"/>
      <c r="AS34" s="14"/>
    </row>
    <row r="35" spans="1:45" x14ac:dyDescent="0.25">
      <c r="A35" s="1">
        <f>IF(A34&lt;'Project Information'!B$11,A34+1,"")</f>
        <v>2043</v>
      </c>
      <c r="B35" s="160">
        <v>0</v>
      </c>
      <c r="F35" s="13"/>
      <c r="G35" s="248" t="s">
        <v>542</v>
      </c>
      <c r="H35"/>
      <c r="I35"/>
      <c r="J35"/>
      <c r="K35"/>
      <c r="L35" s="439">
        <v>10</v>
      </c>
      <c r="M35" s="248" t="s">
        <v>539</v>
      </c>
      <c r="N35"/>
      <c r="O35"/>
      <c r="P35"/>
      <c r="Q35"/>
      <c r="R35"/>
      <c r="S35"/>
      <c r="T35"/>
      <c r="U35"/>
      <c r="V35"/>
      <c r="W35"/>
      <c r="X35"/>
      <c r="Y35"/>
      <c r="Z35"/>
      <c r="AA35"/>
      <c r="AB35"/>
      <c r="AC35"/>
      <c r="AD35"/>
      <c r="AE35"/>
      <c r="AF35"/>
      <c r="AG35"/>
      <c r="AH35"/>
      <c r="AI35"/>
      <c r="AJ35"/>
      <c r="AQ35"/>
      <c r="AR35"/>
      <c r="AS35" s="14"/>
    </row>
    <row r="36" spans="1:45" x14ac:dyDescent="0.25">
      <c r="A36" s="1">
        <f>IF(A35&lt;'Project Information'!B$11,A35+1,"")</f>
        <v>2044</v>
      </c>
      <c r="B36" s="160">
        <v>0</v>
      </c>
      <c r="F36" s="13"/>
      <c r="G36"/>
      <c r="H36" s="347"/>
      <c r="I36" s="347"/>
      <c r="J36"/>
      <c r="K36"/>
      <c r="L36" s="439">
        <v>25</v>
      </c>
      <c r="M36" s="248" t="s">
        <v>541</v>
      </c>
      <c r="N36"/>
      <c r="O36"/>
      <c r="P36"/>
      <c r="Q36"/>
      <c r="R36"/>
      <c r="S36"/>
      <c r="T36"/>
      <c r="U36"/>
      <c r="V36"/>
      <c r="W36"/>
      <c r="X36"/>
      <c r="Y36"/>
      <c r="Z36"/>
      <c r="AA36"/>
      <c r="AB36"/>
      <c r="AC36"/>
      <c r="AD36"/>
      <c r="AE36"/>
      <c r="AF36"/>
      <c r="AG36"/>
      <c r="AH36"/>
      <c r="AI36"/>
      <c r="AJ36"/>
      <c r="AQ36"/>
      <c r="AR36"/>
      <c r="AS36" s="14"/>
    </row>
    <row r="37" spans="1:45" x14ac:dyDescent="0.25">
      <c r="A37" s="1">
        <f>IF(A36&lt;'Project Information'!B$11,A36+1,"")</f>
        <v>2045</v>
      </c>
      <c r="B37" s="160">
        <v>0</v>
      </c>
      <c r="F37" s="13"/>
      <c r="G37"/>
      <c r="H37"/>
      <c r="I37"/>
      <c r="J37"/>
      <c r="K37"/>
      <c r="L37" s="439">
        <v>40</v>
      </c>
      <c r="M37" s="248" t="s">
        <v>540</v>
      </c>
      <c r="N37"/>
      <c r="O37"/>
      <c r="P37"/>
      <c r="Q37"/>
      <c r="R37"/>
      <c r="S37"/>
      <c r="T37"/>
      <c r="U37"/>
      <c r="V37"/>
      <c r="W37"/>
      <c r="X37"/>
      <c r="Y37"/>
      <c r="Z37"/>
      <c r="AA37"/>
      <c r="AB37"/>
      <c r="AC37"/>
      <c r="AD37"/>
      <c r="AE37"/>
      <c r="AF37"/>
      <c r="AG37"/>
      <c r="AH37"/>
      <c r="AI37"/>
      <c r="AJ37"/>
      <c r="AQ37"/>
      <c r="AR37"/>
      <c r="AS37" s="14"/>
    </row>
    <row r="38" spans="1:45" x14ac:dyDescent="0.25">
      <c r="A38" s="1">
        <f>IF(A37&lt;'Project Information'!B$11,A37+1,"")</f>
        <v>2046</v>
      </c>
      <c r="B38" s="160">
        <v>0</v>
      </c>
      <c r="F38" s="13"/>
      <c r="G38"/>
      <c r="H38"/>
      <c r="I38"/>
      <c r="J38"/>
      <c r="K38"/>
      <c r="L38"/>
      <c r="M38"/>
      <c r="N38"/>
      <c r="O38"/>
      <c r="P38"/>
      <c r="Q38"/>
      <c r="R38"/>
      <c r="S38"/>
      <c r="T38"/>
      <c r="U38"/>
      <c r="V38"/>
      <c r="W38"/>
      <c r="X38"/>
      <c r="Y38"/>
      <c r="Z38"/>
      <c r="AA38"/>
      <c r="AB38"/>
      <c r="AC38"/>
      <c r="AD38"/>
      <c r="AE38"/>
      <c r="AF38"/>
      <c r="AG38"/>
      <c r="AH38"/>
      <c r="AI38"/>
      <c r="AJ38"/>
      <c r="AQ38"/>
      <c r="AR38"/>
      <c r="AS38" s="14"/>
    </row>
    <row r="39" spans="1:45" x14ac:dyDescent="0.25">
      <c r="A39" s="1">
        <f>IF(A38&lt;'Project Information'!B$11,A38+1,"")</f>
        <v>2047</v>
      </c>
      <c r="B39" s="160">
        <v>0</v>
      </c>
      <c r="F39" s="13"/>
      <c r="G39"/>
      <c r="H39"/>
      <c r="I39"/>
      <c r="J39"/>
      <c r="K39"/>
      <c r="L39"/>
      <c r="M39"/>
      <c r="N39"/>
      <c r="O39"/>
      <c r="P39"/>
      <c r="Q39"/>
      <c r="R39"/>
      <c r="S39"/>
      <c r="T39"/>
      <c r="U39"/>
      <c r="V39"/>
      <c r="W39"/>
      <c r="X39"/>
      <c r="Y39"/>
      <c r="Z39"/>
      <c r="AA39"/>
      <c r="AB39"/>
      <c r="AC39"/>
      <c r="AD39"/>
      <c r="AE39"/>
      <c r="AF39"/>
      <c r="AG39"/>
      <c r="AH39"/>
      <c r="AI39"/>
      <c r="AJ39"/>
      <c r="AQ39"/>
      <c r="AR39"/>
      <c r="AS39" s="14"/>
    </row>
    <row r="40" spans="1:45" x14ac:dyDescent="0.25">
      <c r="A40" s="1">
        <f>IF(A39&lt;'Project Information'!B$11,A39+1,"")</f>
        <v>2048</v>
      </c>
      <c r="B40" s="160">
        <v>0</v>
      </c>
      <c r="F40" s="13"/>
      <c r="G40"/>
      <c r="H40"/>
      <c r="I40"/>
      <c r="J40"/>
      <c r="K40"/>
      <c r="L40"/>
      <c r="M40"/>
      <c r="N40"/>
      <c r="O40"/>
      <c r="P40"/>
      <c r="Q40"/>
      <c r="R40"/>
      <c r="S40"/>
      <c r="T40"/>
      <c r="U40"/>
      <c r="V40"/>
      <c r="W40"/>
      <c r="X40"/>
      <c r="Y40"/>
      <c r="Z40"/>
      <c r="AA40"/>
      <c r="AB40"/>
      <c r="AC40"/>
      <c r="AD40"/>
      <c r="AE40"/>
      <c r="AF40"/>
      <c r="AG40"/>
      <c r="AH40"/>
      <c r="AI40"/>
      <c r="AJ40"/>
      <c r="AQ40"/>
      <c r="AR40"/>
      <c r="AS40" s="14"/>
    </row>
    <row r="41" spans="1:45" x14ac:dyDescent="0.25">
      <c r="A41" s="1">
        <f>IF(A40&lt;'Project Information'!B$11,A40+1,"")</f>
        <v>2049</v>
      </c>
      <c r="B41" s="160">
        <v>0</v>
      </c>
      <c r="F41" s="13"/>
      <c r="G41"/>
      <c r="H41"/>
      <c r="I41"/>
      <c r="J41"/>
      <c r="K41"/>
      <c r="L41"/>
      <c r="M41"/>
      <c r="N41"/>
      <c r="O41"/>
      <c r="P41"/>
      <c r="Q41"/>
      <c r="R41"/>
      <c r="S41"/>
      <c r="T41"/>
      <c r="U41"/>
      <c r="V41"/>
      <c r="W41"/>
      <c r="X41"/>
      <c r="Y41"/>
      <c r="Z41"/>
      <c r="AA41"/>
      <c r="AB41"/>
      <c r="AC41"/>
      <c r="AD41"/>
      <c r="AE41"/>
      <c r="AF41"/>
      <c r="AG41"/>
      <c r="AH41"/>
      <c r="AI41"/>
      <c r="AJ41"/>
      <c r="AQ41"/>
      <c r="AR41"/>
      <c r="AS41" s="14"/>
    </row>
    <row r="42" spans="1:45" x14ac:dyDescent="0.25">
      <c r="A42" s="1">
        <f>IF(A41&lt;'Project Information'!B$11,A41+1,"")</f>
        <v>2050</v>
      </c>
      <c r="B42" s="160">
        <v>0</v>
      </c>
      <c r="F42" s="13"/>
      <c r="G42"/>
      <c r="H42"/>
      <c r="I42"/>
      <c r="J42"/>
      <c r="K42"/>
      <c r="L42"/>
      <c r="M42"/>
      <c r="N42"/>
      <c r="O42"/>
      <c r="P42"/>
      <c r="Q42"/>
      <c r="R42"/>
      <c r="S42"/>
      <c r="T42"/>
      <c r="U42"/>
      <c r="V42"/>
      <c r="W42"/>
      <c r="X42"/>
      <c r="Y42"/>
      <c r="Z42"/>
      <c r="AA42"/>
      <c r="AB42"/>
      <c r="AC42"/>
      <c r="AD42"/>
      <c r="AE42"/>
      <c r="AF42"/>
      <c r="AG42"/>
      <c r="AH42"/>
      <c r="AI42"/>
      <c r="AJ42"/>
      <c r="AQ42"/>
      <c r="AR42"/>
      <c r="AS42" s="14"/>
    </row>
    <row r="43" spans="1:45" x14ac:dyDescent="0.25">
      <c r="A43" s="1">
        <f>IF(A42&lt;'Project Information'!B$11,A42+1,"")</f>
        <v>2051</v>
      </c>
      <c r="B43" s="160">
        <v>0</v>
      </c>
      <c r="F43" s="13"/>
      <c r="G43"/>
      <c r="H43"/>
      <c r="I43"/>
      <c r="J43"/>
      <c r="K43"/>
      <c r="L43"/>
      <c r="M43"/>
      <c r="N43"/>
      <c r="O43"/>
      <c r="P43"/>
      <c r="Q43"/>
      <c r="R43"/>
      <c r="S43"/>
      <c r="T43"/>
      <c r="U43"/>
      <c r="V43"/>
      <c r="W43"/>
      <c r="X43"/>
      <c r="Y43"/>
      <c r="Z43"/>
      <c r="AA43"/>
      <c r="AB43"/>
      <c r="AC43"/>
      <c r="AD43"/>
      <c r="AE43"/>
      <c r="AF43"/>
      <c r="AG43"/>
      <c r="AH43"/>
      <c r="AI43"/>
      <c r="AJ43"/>
      <c r="AQ43"/>
      <c r="AR43"/>
      <c r="AS43" s="14"/>
    </row>
    <row r="44" spans="1:45" x14ac:dyDescent="0.25">
      <c r="A44" s="1">
        <f>IF(A43&lt;'Project Information'!B$11,A43+1,"")</f>
        <v>2052</v>
      </c>
      <c r="B44" s="160">
        <v>0</v>
      </c>
      <c r="F44" s="13"/>
      <c r="G44"/>
      <c r="H44"/>
      <c r="I44"/>
      <c r="J44"/>
      <c r="K44"/>
      <c r="L44"/>
      <c r="M44"/>
      <c r="N44"/>
      <c r="O44"/>
      <c r="P44"/>
      <c r="Q44"/>
      <c r="R44"/>
      <c r="S44"/>
      <c r="T44"/>
      <c r="U44"/>
      <c r="V44"/>
      <c r="W44"/>
      <c r="X44"/>
      <c r="Y44"/>
      <c r="Z44"/>
      <c r="AA44"/>
      <c r="AB44"/>
      <c r="AC44"/>
      <c r="AD44"/>
      <c r="AE44"/>
      <c r="AF44"/>
      <c r="AG44"/>
      <c r="AH44"/>
      <c r="AI44"/>
      <c r="AJ44"/>
      <c r="AQ44"/>
      <c r="AR44"/>
      <c r="AS44" s="14"/>
    </row>
    <row r="45" spans="1:45" x14ac:dyDescent="0.25">
      <c r="A45" s="1" t="str">
        <f>IF(A44&lt;'Project Information'!B$11,A44+1,"")</f>
        <v/>
      </c>
      <c r="B45" s="160">
        <v>0</v>
      </c>
      <c r="F45" s="13"/>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s="14"/>
    </row>
    <row r="46" spans="1:45" x14ac:dyDescent="0.25">
      <c r="A46" s="1" t="str">
        <f>IF(A45&lt;'Project Information'!B$11,A45+1,"")</f>
        <v/>
      </c>
      <c r="B46" s="160">
        <v>0</v>
      </c>
      <c r="F46" s="13"/>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s="14"/>
    </row>
    <row r="47" spans="1:45" x14ac:dyDescent="0.25">
      <c r="A47" s="1" t="str">
        <f>IF(A46&lt;'Project Information'!B$11,A46+1,"")</f>
        <v/>
      </c>
      <c r="B47" s="160">
        <v>0</v>
      </c>
      <c r="F47" s="13"/>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s="14"/>
    </row>
    <row r="48" spans="1:45" x14ac:dyDescent="0.25">
      <c r="A48" s="1" t="str">
        <f>IF(A47&lt;'Project Information'!B$11,A47+1,"")</f>
        <v/>
      </c>
      <c r="B48" s="160">
        <v>0</v>
      </c>
      <c r="F48" s="13"/>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s="14"/>
    </row>
    <row r="49" spans="1:45" x14ac:dyDescent="0.25">
      <c r="A49" s="2" t="str">
        <f>IF(A48&lt;'Project Information'!B$11,A48+1,"")</f>
        <v/>
      </c>
      <c r="B49" s="116">
        <v>0</v>
      </c>
      <c r="F49" s="13"/>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s="14"/>
    </row>
    <row r="50" spans="1:45" x14ac:dyDescent="0.25">
      <c r="F50" s="13"/>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s="14"/>
    </row>
    <row r="51" spans="1:45" x14ac:dyDescent="0.25">
      <c r="F51" s="13"/>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s="14"/>
    </row>
    <row r="52" spans="1:45" x14ac:dyDescent="0.25">
      <c r="F52" s="13"/>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s="14"/>
    </row>
    <row r="53" spans="1:45" x14ac:dyDescent="0.25">
      <c r="F53" s="1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s="14"/>
    </row>
    <row r="54" spans="1:45" x14ac:dyDescent="0.25">
      <c r="F54" s="13"/>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s="14"/>
    </row>
    <row r="55" spans="1:45" x14ac:dyDescent="0.25">
      <c r="F55" s="13"/>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s="14"/>
    </row>
    <row r="56" spans="1:45" x14ac:dyDescent="0.25">
      <c r="F56" s="13"/>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s="14"/>
    </row>
    <row r="57" spans="1:45" x14ac:dyDescent="0.25">
      <c r="F57" s="13"/>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s="14"/>
    </row>
    <row r="58" spans="1:45" x14ac:dyDescent="0.25">
      <c r="F58" s="13"/>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s="14"/>
    </row>
    <row r="59" spans="1:45" x14ac:dyDescent="0.25">
      <c r="F59" s="13"/>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s="14"/>
    </row>
    <row r="60" spans="1:45" x14ac:dyDescent="0.25">
      <c r="F60" s="13"/>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s="14"/>
    </row>
    <row r="61" spans="1:45" x14ac:dyDescent="0.25">
      <c r="F61" s="13"/>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s="14"/>
    </row>
    <row r="62" spans="1:45" x14ac:dyDescent="0.25">
      <c r="F62" s="13"/>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s="14"/>
    </row>
    <row r="63" spans="1:45" x14ac:dyDescent="0.25">
      <c r="F63" s="1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s="14"/>
    </row>
    <row r="64" spans="1:45" x14ac:dyDescent="0.25">
      <c r="F64" s="13"/>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s="14"/>
    </row>
    <row r="65" spans="6:45" x14ac:dyDescent="0.25">
      <c r="F65" s="13"/>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s="14"/>
    </row>
    <row r="66" spans="6:45" x14ac:dyDescent="0.25">
      <c r="F66" s="13"/>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s="14"/>
    </row>
    <row r="67" spans="6:45" x14ac:dyDescent="0.25">
      <c r="F67" s="13"/>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s="14"/>
    </row>
    <row r="68" spans="6:45" x14ac:dyDescent="0.25">
      <c r="F68" s="13"/>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s="14"/>
    </row>
    <row r="69" spans="6:45" x14ac:dyDescent="0.25">
      <c r="F69" s="13"/>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s="14"/>
    </row>
    <row r="70" spans="6:45" x14ac:dyDescent="0.25">
      <c r="F70" s="13"/>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s="14"/>
    </row>
    <row r="71" spans="6:45" x14ac:dyDescent="0.25">
      <c r="F71" s="13"/>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s="14"/>
    </row>
    <row r="72" spans="6:45" x14ac:dyDescent="0.25">
      <c r="F72" s="13"/>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s="14"/>
    </row>
    <row r="73" spans="6:45" x14ac:dyDescent="0.25">
      <c r="F73" s="1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s="14"/>
    </row>
    <row r="74" spans="6:45" x14ac:dyDescent="0.25">
      <c r="F74" s="13"/>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s="14"/>
    </row>
    <row r="75" spans="6:45" x14ac:dyDescent="0.25">
      <c r="F75" s="13"/>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s="14"/>
    </row>
    <row r="76" spans="6:45" x14ac:dyDescent="0.25">
      <c r="F76" s="13"/>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s="14"/>
    </row>
    <row r="77" spans="6:45" x14ac:dyDescent="0.25">
      <c r="F77" s="13"/>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s="14"/>
    </row>
    <row r="78" spans="6:45" x14ac:dyDescent="0.25">
      <c r="F78" s="13"/>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s="14"/>
    </row>
    <row r="79" spans="6:45" x14ac:dyDescent="0.25">
      <c r="F79" s="13"/>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s="14"/>
    </row>
    <row r="80" spans="6:45" x14ac:dyDescent="0.25">
      <c r="F80" s="13"/>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s="14"/>
    </row>
    <row r="81" spans="6:45" x14ac:dyDescent="0.25">
      <c r="F81" s="13"/>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s="14"/>
    </row>
    <row r="82" spans="6:45" x14ac:dyDescent="0.25">
      <c r="F82" s="13"/>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s="14"/>
    </row>
    <row r="83" spans="6:45" x14ac:dyDescent="0.25">
      <c r="F83" s="1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s="14"/>
    </row>
    <row r="84" spans="6:45" x14ac:dyDescent="0.25">
      <c r="F84" s="13"/>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s="14"/>
    </row>
    <row r="85" spans="6:45" x14ac:dyDescent="0.25">
      <c r="F85" s="13"/>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s="14"/>
    </row>
    <row r="86" spans="6:45" x14ac:dyDescent="0.25">
      <c r="F86" s="13"/>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s="14"/>
    </row>
    <row r="87" spans="6:45" x14ac:dyDescent="0.25">
      <c r="F87" s="13"/>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s="14"/>
    </row>
    <row r="88" spans="6:45" x14ac:dyDescent="0.25">
      <c r="F88" s="13"/>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s="14"/>
    </row>
    <row r="89" spans="6:45" x14ac:dyDescent="0.25">
      <c r="F89" s="13"/>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s="14"/>
    </row>
    <row r="90" spans="6:45" x14ac:dyDescent="0.25">
      <c r="F90" s="13"/>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s="14"/>
    </row>
    <row r="91" spans="6:45" x14ac:dyDescent="0.25">
      <c r="F91" s="13"/>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s="14"/>
    </row>
    <row r="92" spans="6:45" x14ac:dyDescent="0.25">
      <c r="F92" s="13"/>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s="14"/>
    </row>
    <row r="93" spans="6:45" x14ac:dyDescent="0.25">
      <c r="F93" s="1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s="14"/>
    </row>
    <row r="94" spans="6:45" x14ac:dyDescent="0.25">
      <c r="F94" s="13"/>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s="14"/>
    </row>
    <row r="95" spans="6:45" x14ac:dyDescent="0.25">
      <c r="F95" s="13"/>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s="14"/>
    </row>
    <row r="96" spans="6:45" x14ac:dyDescent="0.25">
      <c r="F96" s="13"/>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s="14"/>
    </row>
    <row r="97" spans="6:45" x14ac:dyDescent="0.25">
      <c r="F97" s="13"/>
      <c r="G97"/>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s="14"/>
    </row>
    <row r="98" spans="6:45" x14ac:dyDescent="0.25">
      <c r="F98" s="13"/>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s="14"/>
    </row>
    <row r="99" spans="6:45" ht="15.75" thickBot="1" x14ac:dyDescent="0.3">
      <c r="F99" s="15"/>
      <c r="G99" s="16"/>
      <c r="H99" s="16"/>
      <c r="I99" s="16"/>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7"/>
    </row>
  </sheetData>
  <mergeCells count="35">
    <mergeCell ref="C19:D21"/>
    <mergeCell ref="P27:P28"/>
    <mergeCell ref="Q27:Q28"/>
    <mergeCell ref="R27:R28"/>
    <mergeCell ref="S27:S28"/>
    <mergeCell ref="P20:P21"/>
    <mergeCell ref="Q20:Q21"/>
    <mergeCell ref="R20:R21"/>
    <mergeCell ref="S20:S21"/>
    <mergeCell ref="G27:H27"/>
    <mergeCell ref="I27:J27"/>
    <mergeCell ref="L27:L28"/>
    <mergeCell ref="M27:M28"/>
    <mergeCell ref="G20:H20"/>
    <mergeCell ref="I20:J20"/>
    <mergeCell ref="L20:L21"/>
    <mergeCell ref="M20:M21"/>
    <mergeCell ref="N20:N21"/>
    <mergeCell ref="AA27:AA28"/>
    <mergeCell ref="X19:AA19"/>
    <mergeCell ref="X20:X21"/>
    <mergeCell ref="Y20:Y21"/>
    <mergeCell ref="Z20:Z21"/>
    <mergeCell ref="X26:AA26"/>
    <mergeCell ref="L19:S19"/>
    <mergeCell ref="L26:V26"/>
    <mergeCell ref="X27:X28"/>
    <mergeCell ref="Y27:Y28"/>
    <mergeCell ref="Z27:Z28"/>
    <mergeCell ref="N27:N28"/>
    <mergeCell ref="O27:O28"/>
    <mergeCell ref="O20:O21"/>
    <mergeCell ref="V27:V28"/>
    <mergeCell ref="T27:T28"/>
    <mergeCell ref="U27:U28"/>
  </mergeCells>
  <conditionalFormatting sqref="B20:B49">
    <cfRule type="expression" dxfId="8" priority="1">
      <formula>A20=""</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582A7-60FE-4049-9E01-0156D8D060ED}">
  <sheetPr>
    <tabColor theme="9" tint="0.39997558519241921"/>
  </sheetPr>
  <dimension ref="A1:AZ90"/>
  <sheetViews>
    <sheetView workbookViewId="0">
      <selection activeCell="A24" sqref="A24:A35"/>
    </sheetView>
  </sheetViews>
  <sheetFormatPr defaultColWidth="9.140625" defaultRowHeight="15" x14ac:dyDescent="0.25"/>
  <cols>
    <col min="1" max="1" width="26.42578125" style="5" customWidth="1"/>
    <col min="2" max="2" width="28.85546875" style="5" customWidth="1"/>
    <col min="3" max="16384" width="9.140625" style="5"/>
  </cols>
  <sheetData>
    <row r="1" spans="1:52" ht="20.25" thickBot="1" x14ac:dyDescent="0.35">
      <c r="A1" s="93" t="s">
        <v>12</v>
      </c>
    </row>
    <row r="2" spans="1:52" ht="15.75" thickTop="1" x14ac:dyDescent="0.25">
      <c r="A2" s="148" t="s">
        <v>238</v>
      </c>
      <c r="B2" s="148"/>
      <c r="C2" s="148"/>
      <c r="D2" s="148"/>
      <c r="E2" s="148"/>
      <c r="F2" s="148"/>
      <c r="G2" s="148"/>
      <c r="H2" s="148"/>
      <c r="I2" s="148"/>
      <c r="J2" s="148"/>
      <c r="K2" s="148"/>
    </row>
    <row r="3" spans="1:52" x14ac:dyDescent="0.25">
      <c r="A3" s="5" t="s">
        <v>198</v>
      </c>
    </row>
    <row r="4" spans="1:52" x14ac:dyDescent="0.25">
      <c r="A4" s="149" t="s">
        <v>257</v>
      </c>
      <c r="B4" s="148"/>
      <c r="C4" s="148"/>
      <c r="D4" s="148"/>
      <c r="E4" s="148"/>
      <c r="F4" s="148"/>
      <c r="G4" s="148"/>
      <c r="H4" s="148"/>
      <c r="I4" s="148"/>
      <c r="J4" s="148"/>
      <c r="K4" s="148"/>
      <c r="L4" s="148"/>
      <c r="M4" s="148"/>
      <c r="N4" s="148"/>
    </row>
    <row r="5" spans="1:52" x14ac:dyDescent="0.25">
      <c r="A5" s="38" t="s">
        <v>198</v>
      </c>
    </row>
    <row r="6" spans="1:52" x14ac:dyDescent="0.25">
      <c r="A6" s="149" t="s">
        <v>246</v>
      </c>
      <c r="B6" s="148"/>
      <c r="C6" s="148"/>
      <c r="D6" s="148"/>
      <c r="E6" s="148"/>
    </row>
    <row r="7" spans="1:52" x14ac:dyDescent="0.25">
      <c r="A7" s="149" t="s">
        <v>247</v>
      </c>
      <c r="B7" s="148"/>
      <c r="C7" s="148"/>
      <c r="D7" s="148"/>
      <c r="E7" s="148"/>
      <c r="F7" s="148"/>
      <c r="G7" s="148"/>
      <c r="H7" s="148"/>
    </row>
    <row r="8" spans="1:52" x14ac:dyDescent="0.25">
      <c r="A8" s="5" t="s">
        <v>198</v>
      </c>
    </row>
    <row r="9" spans="1:52" ht="15.75" thickBot="1" x14ac:dyDescent="0.3">
      <c r="A9" s="94" t="s">
        <v>243</v>
      </c>
    </row>
    <row r="10" spans="1:52" x14ac:dyDescent="0.25">
      <c r="A10" s="104" t="s">
        <v>4</v>
      </c>
      <c r="B10" s="105" t="s">
        <v>12</v>
      </c>
      <c r="E10" s="10" t="s">
        <v>159</v>
      </c>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2"/>
    </row>
    <row r="11" spans="1:52" x14ac:dyDescent="0.25">
      <c r="A11" s="6">
        <f>'Project Information'!$B$9</f>
        <v>2028</v>
      </c>
      <c r="B11" s="160">
        <v>0</v>
      </c>
      <c r="E11" s="13"/>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s="14"/>
    </row>
    <row r="12" spans="1:52" x14ac:dyDescent="0.25">
      <c r="A12" s="1">
        <f>IF(A11&lt;'Project Information'!B$11,A11+1,"")</f>
        <v>2029</v>
      </c>
      <c r="B12" s="160">
        <v>0</v>
      </c>
      <c r="E12" s="13"/>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s="14"/>
    </row>
    <row r="13" spans="1:52" x14ac:dyDescent="0.25">
      <c r="A13" s="1">
        <f>IF(A12&lt;'Project Information'!B$11,A12+1,"")</f>
        <v>2030</v>
      </c>
      <c r="B13" s="160">
        <v>0</v>
      </c>
      <c r="E13" s="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s="14"/>
    </row>
    <row r="14" spans="1:52" x14ac:dyDescent="0.25">
      <c r="A14" s="1">
        <f>IF(A13&lt;'Project Information'!B$11,A13+1,"")</f>
        <v>2031</v>
      </c>
      <c r="B14" s="160">
        <v>0</v>
      </c>
      <c r="E14" s="13"/>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s="14"/>
    </row>
    <row r="15" spans="1:52" x14ac:dyDescent="0.25">
      <c r="A15" s="1">
        <f>IF(A14&lt;'Project Information'!B$11,A14+1,"")</f>
        <v>2032</v>
      </c>
      <c r="B15" s="160">
        <v>0</v>
      </c>
      <c r="E15" s="13"/>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s="14"/>
    </row>
    <row r="16" spans="1:52" x14ac:dyDescent="0.25">
      <c r="A16" s="1">
        <f>IF(A15&lt;'Project Information'!B$11,A15+1,"")</f>
        <v>2033</v>
      </c>
      <c r="B16" s="160">
        <v>0</v>
      </c>
      <c r="E16" s="13"/>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s="14"/>
    </row>
    <row r="17" spans="1:52" x14ac:dyDescent="0.25">
      <c r="A17" s="1">
        <f>IF(A16&lt;'Project Information'!B$11,A16+1,"")</f>
        <v>2034</v>
      </c>
      <c r="B17" s="160">
        <v>0</v>
      </c>
      <c r="E17" s="13"/>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s="14"/>
    </row>
    <row r="18" spans="1:52" x14ac:dyDescent="0.25">
      <c r="A18" s="1">
        <f>IF(A17&lt;'Project Information'!B$11,A17+1,"")</f>
        <v>2035</v>
      </c>
      <c r="B18" s="160">
        <v>0</v>
      </c>
      <c r="E18" s="13"/>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s="14"/>
    </row>
    <row r="19" spans="1:52" x14ac:dyDescent="0.25">
      <c r="A19" s="1">
        <f>IF(A18&lt;'Project Information'!B$11,A18+1,"")</f>
        <v>2036</v>
      </c>
      <c r="B19" s="160">
        <v>0</v>
      </c>
      <c r="E19" s="13"/>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s="14"/>
    </row>
    <row r="20" spans="1:52" x14ac:dyDescent="0.25">
      <c r="A20" s="1">
        <f>IF(A19&lt;'Project Information'!B$11,A19+1,"")</f>
        <v>2037</v>
      </c>
      <c r="B20" s="160">
        <v>0</v>
      </c>
      <c r="E20" s="13"/>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s="14"/>
    </row>
    <row r="21" spans="1:52" x14ac:dyDescent="0.25">
      <c r="A21" s="1">
        <f>IF(A20&lt;'Project Information'!B$11,A20+1,"")</f>
        <v>2038</v>
      </c>
      <c r="B21" s="160">
        <v>0</v>
      </c>
      <c r="E21" s="13"/>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s="14"/>
    </row>
    <row r="22" spans="1:52" x14ac:dyDescent="0.25">
      <c r="A22" s="1">
        <f>IF(A21&lt;'Project Information'!B$11,A21+1,"")</f>
        <v>2039</v>
      </c>
      <c r="B22" s="160">
        <v>0</v>
      </c>
      <c r="E22" s="13"/>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s="14"/>
    </row>
    <row r="23" spans="1:52" x14ac:dyDescent="0.25">
      <c r="A23" s="1">
        <f>IF(A22&lt;'Project Information'!B$11,A22+1,"")</f>
        <v>2040</v>
      </c>
      <c r="B23" s="160">
        <v>0</v>
      </c>
      <c r="E23" s="1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s="14"/>
    </row>
    <row r="24" spans="1:52" x14ac:dyDescent="0.25">
      <c r="A24" s="1">
        <f>IF(A23&lt;'Project Information'!B$11,A23+1,"")</f>
        <v>2041</v>
      </c>
      <c r="B24" s="160">
        <v>0</v>
      </c>
      <c r="E24" s="13"/>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s="14"/>
    </row>
    <row r="25" spans="1:52" x14ac:dyDescent="0.25">
      <c r="A25" s="1">
        <f>IF(A24&lt;'Project Information'!B$11,A24+1,"")</f>
        <v>2042</v>
      </c>
      <c r="B25" s="160">
        <v>0</v>
      </c>
      <c r="E25" s="13"/>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s="14"/>
    </row>
    <row r="26" spans="1:52" x14ac:dyDescent="0.25">
      <c r="A26" s="1">
        <f>IF(A25&lt;'Project Information'!B$11,A25+1,"")</f>
        <v>2043</v>
      </c>
      <c r="B26" s="160">
        <v>0</v>
      </c>
      <c r="E26" s="13"/>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s="14"/>
    </row>
    <row r="27" spans="1:52" x14ac:dyDescent="0.25">
      <c r="A27" s="1">
        <f>IF(A26&lt;'Project Information'!B$11,A26+1,"")</f>
        <v>2044</v>
      </c>
      <c r="B27" s="160">
        <v>0</v>
      </c>
      <c r="E27" s="13"/>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s="14"/>
    </row>
    <row r="28" spans="1:52" x14ac:dyDescent="0.25">
      <c r="A28" s="1">
        <f>IF(A27&lt;'Project Information'!B$11,A27+1,"")</f>
        <v>2045</v>
      </c>
      <c r="B28" s="160">
        <v>0</v>
      </c>
      <c r="E28" s="13"/>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s="14"/>
    </row>
    <row r="29" spans="1:52" x14ac:dyDescent="0.25">
      <c r="A29" s="1">
        <f>IF(A28&lt;'Project Information'!B$11,A28+1,"")</f>
        <v>2046</v>
      </c>
      <c r="B29" s="160">
        <v>0</v>
      </c>
      <c r="E29" s="13"/>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s="14"/>
    </row>
    <row r="30" spans="1:52" x14ac:dyDescent="0.25">
      <c r="A30" s="1">
        <f>IF(A29&lt;'Project Information'!B$11,A29+1,"")</f>
        <v>2047</v>
      </c>
      <c r="B30" s="160">
        <v>0</v>
      </c>
      <c r="E30" s="13"/>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s="14"/>
    </row>
    <row r="31" spans="1:52" x14ac:dyDescent="0.25">
      <c r="A31" s="1">
        <f>IF(A30&lt;'Project Information'!B$11,A30+1,"")</f>
        <v>2048</v>
      </c>
      <c r="B31" s="160">
        <v>0</v>
      </c>
      <c r="E31" s="13"/>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s="14"/>
    </row>
    <row r="32" spans="1:52" x14ac:dyDescent="0.25">
      <c r="A32" s="1">
        <f>IF(A31&lt;'Project Information'!B$11,A31+1,"")</f>
        <v>2049</v>
      </c>
      <c r="B32" s="160">
        <v>0</v>
      </c>
      <c r="E32" s="13"/>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s="14"/>
    </row>
    <row r="33" spans="1:52" x14ac:dyDescent="0.25">
      <c r="A33" s="1">
        <f>IF(A32&lt;'Project Information'!B$11,A32+1,"")</f>
        <v>2050</v>
      </c>
      <c r="B33" s="160">
        <v>0</v>
      </c>
      <c r="E33" s="1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s="14"/>
    </row>
    <row r="34" spans="1:52" x14ac:dyDescent="0.25">
      <c r="A34" s="1">
        <f>IF(A33&lt;'Project Information'!B$11,A33+1,"")</f>
        <v>2051</v>
      </c>
      <c r="B34" s="160">
        <v>0</v>
      </c>
      <c r="E34" s="13"/>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s="14"/>
    </row>
    <row r="35" spans="1:52" x14ac:dyDescent="0.25">
      <c r="A35" s="1">
        <f>IF(A34&lt;'Project Information'!B$11,A34+1,"")</f>
        <v>2052</v>
      </c>
      <c r="B35" s="160">
        <v>0</v>
      </c>
      <c r="E35" s="13"/>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s="14"/>
    </row>
    <row r="36" spans="1:52" x14ac:dyDescent="0.25">
      <c r="A36" s="1" t="str">
        <f>IF(A35&lt;'Project Information'!B$11,A35+1,"")</f>
        <v/>
      </c>
      <c r="B36" s="160">
        <v>0</v>
      </c>
      <c r="E36" s="13"/>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s="14"/>
    </row>
    <row r="37" spans="1:52" x14ac:dyDescent="0.25">
      <c r="A37" s="1" t="str">
        <f>IF(A36&lt;'Project Information'!B$11,A36+1,"")</f>
        <v/>
      </c>
      <c r="B37" s="160">
        <v>0</v>
      </c>
      <c r="E37" s="13"/>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s="14"/>
    </row>
    <row r="38" spans="1:52" x14ac:dyDescent="0.25">
      <c r="A38" s="1" t="str">
        <f>IF(A37&lt;'Project Information'!B$11,A37+1,"")</f>
        <v/>
      </c>
      <c r="B38" s="160">
        <v>0</v>
      </c>
      <c r="E38" s="13"/>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s="14"/>
    </row>
    <row r="39" spans="1:52" x14ac:dyDescent="0.25">
      <c r="A39" s="1" t="str">
        <f>IF(A38&lt;'Project Information'!B$11,A38+1,"")</f>
        <v/>
      </c>
      <c r="B39" s="160">
        <v>0</v>
      </c>
      <c r="E39" s="13"/>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s="14"/>
    </row>
    <row r="40" spans="1:52" x14ac:dyDescent="0.25">
      <c r="A40" s="2" t="str">
        <f>IF(A39&lt;'Project Information'!B$11,A39+1,"")</f>
        <v/>
      </c>
      <c r="B40" s="116">
        <v>0</v>
      </c>
      <c r="E40" s="13"/>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s="14"/>
    </row>
    <row r="41" spans="1:52" x14ac:dyDescent="0.25">
      <c r="E41" s="13"/>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s="14"/>
    </row>
    <row r="42" spans="1:52" x14ac:dyDescent="0.25">
      <c r="E42" s="13"/>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s="14"/>
    </row>
    <row r="43" spans="1:52" x14ac:dyDescent="0.25">
      <c r="E43" s="1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s="14"/>
    </row>
    <row r="44" spans="1:52" x14ac:dyDescent="0.25">
      <c r="E44" s="13"/>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s="14"/>
    </row>
    <row r="45" spans="1:52" x14ac:dyDescent="0.25">
      <c r="E45" s="13"/>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s="14"/>
    </row>
    <row r="46" spans="1:52" x14ac:dyDescent="0.25">
      <c r="E46" s="13"/>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s="14"/>
    </row>
    <row r="47" spans="1:52" x14ac:dyDescent="0.25">
      <c r="E47" s="13"/>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s="14"/>
    </row>
    <row r="48" spans="1:52" x14ac:dyDescent="0.25">
      <c r="E48" s="13"/>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s="14"/>
    </row>
    <row r="49" spans="5:52" x14ac:dyDescent="0.25">
      <c r="E49" s="13"/>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s="14"/>
    </row>
    <row r="50" spans="5:52" x14ac:dyDescent="0.25">
      <c r="E50" s="13"/>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s="14"/>
    </row>
    <row r="51" spans="5:52" x14ac:dyDescent="0.25">
      <c r="E51" s="13"/>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s="14"/>
    </row>
    <row r="52" spans="5:52" x14ac:dyDescent="0.25">
      <c r="E52" s="13"/>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s="14"/>
    </row>
    <row r="53" spans="5:52" x14ac:dyDescent="0.25">
      <c r="E53" s="1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s="14"/>
    </row>
    <row r="54" spans="5:52" x14ac:dyDescent="0.25">
      <c r="E54" s="13"/>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s="14"/>
    </row>
    <row r="55" spans="5:52" x14ac:dyDescent="0.25">
      <c r="E55" s="13"/>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s="14"/>
    </row>
    <row r="56" spans="5:52" x14ac:dyDescent="0.25">
      <c r="E56" s="13"/>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s="14"/>
    </row>
    <row r="57" spans="5:52" x14ac:dyDescent="0.25">
      <c r="E57" s="13"/>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s="14"/>
    </row>
    <row r="58" spans="5:52" x14ac:dyDescent="0.25">
      <c r="E58" s="13"/>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s="14"/>
    </row>
    <row r="59" spans="5:52" x14ac:dyDescent="0.25">
      <c r="E59" s="13"/>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s="14"/>
    </row>
    <row r="60" spans="5:52" x14ac:dyDescent="0.25">
      <c r="E60" s="13"/>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s="14"/>
    </row>
    <row r="61" spans="5:52" x14ac:dyDescent="0.25">
      <c r="E61" s="13"/>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s="14"/>
    </row>
    <row r="62" spans="5:52" x14ac:dyDescent="0.25">
      <c r="E62" s="13"/>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s="14"/>
    </row>
    <row r="63" spans="5:52" x14ac:dyDescent="0.25">
      <c r="E63" s="1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s="14"/>
    </row>
    <row r="64" spans="5:52" x14ac:dyDescent="0.25">
      <c r="E64" s="13"/>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s="14"/>
    </row>
    <row r="65" spans="5:52" x14ac:dyDescent="0.25">
      <c r="E65" s="13"/>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s="14"/>
    </row>
    <row r="66" spans="5:52" x14ac:dyDescent="0.25">
      <c r="E66" s="13"/>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s="14"/>
    </row>
    <row r="67" spans="5:52" x14ac:dyDescent="0.25">
      <c r="E67" s="13"/>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s="14"/>
    </row>
    <row r="68" spans="5:52" x14ac:dyDescent="0.25">
      <c r="E68" s="13"/>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s="14"/>
    </row>
    <row r="69" spans="5:52" x14ac:dyDescent="0.25">
      <c r="E69" s="13"/>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s="14"/>
    </row>
    <row r="70" spans="5:52" x14ac:dyDescent="0.25">
      <c r="E70" s="13"/>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s="14"/>
    </row>
    <row r="71" spans="5:52" x14ac:dyDescent="0.25">
      <c r="E71" s="13"/>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s="14"/>
    </row>
    <row r="72" spans="5:52" x14ac:dyDescent="0.25">
      <c r="E72" s="13"/>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s="14"/>
    </row>
    <row r="73" spans="5:52" x14ac:dyDescent="0.25">
      <c r="E73" s="1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s="14"/>
    </row>
    <row r="74" spans="5:52" x14ac:dyDescent="0.25">
      <c r="E74" s="13"/>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s="14"/>
    </row>
    <row r="75" spans="5:52" x14ac:dyDescent="0.25">
      <c r="E75" s="13"/>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s="14"/>
    </row>
    <row r="76" spans="5:52" x14ac:dyDescent="0.25">
      <c r="E76" s="13"/>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s="14"/>
    </row>
    <row r="77" spans="5:52" x14ac:dyDescent="0.25">
      <c r="E77" s="13"/>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s="14"/>
    </row>
    <row r="78" spans="5:52" x14ac:dyDescent="0.25">
      <c r="E78" s="13"/>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s="14"/>
    </row>
    <row r="79" spans="5:52" x14ac:dyDescent="0.25">
      <c r="E79" s="13"/>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s="14"/>
    </row>
    <row r="80" spans="5:52" x14ac:dyDescent="0.25">
      <c r="E80" s="13"/>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s="14"/>
    </row>
    <row r="81" spans="5:52" x14ac:dyDescent="0.25">
      <c r="E81" s="13"/>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s="14"/>
    </row>
    <row r="82" spans="5:52" x14ac:dyDescent="0.25">
      <c r="E82" s="13"/>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s="14"/>
    </row>
    <row r="83" spans="5:52" x14ac:dyDescent="0.25">
      <c r="E83" s="1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s="14"/>
    </row>
    <row r="84" spans="5:52" x14ac:dyDescent="0.25">
      <c r="E84" s="13"/>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s="14"/>
    </row>
    <row r="85" spans="5:52" x14ac:dyDescent="0.25">
      <c r="E85" s="13"/>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s="14"/>
    </row>
    <row r="86" spans="5:52" x14ac:dyDescent="0.25">
      <c r="E86" s="13"/>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s="14"/>
    </row>
    <row r="87" spans="5:52" x14ac:dyDescent="0.25">
      <c r="E87" s="13"/>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s="14"/>
    </row>
    <row r="88" spans="5:52" x14ac:dyDescent="0.25">
      <c r="E88" s="13"/>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s="14"/>
    </row>
    <row r="89" spans="5:52" x14ac:dyDescent="0.25">
      <c r="E89" s="13"/>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s="14"/>
    </row>
    <row r="90" spans="5:52" ht="15.75" thickBot="1" x14ac:dyDescent="0.3">
      <c r="E90" s="15"/>
      <c r="F90" s="16"/>
      <c r="G90" s="16"/>
      <c r="H90" s="16"/>
      <c r="I90" s="16"/>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c r="AT90" s="16"/>
      <c r="AU90" s="16"/>
      <c r="AV90" s="16"/>
      <c r="AW90" s="16"/>
      <c r="AX90" s="16"/>
      <c r="AY90" s="16"/>
      <c r="AZ90" s="17"/>
    </row>
  </sheetData>
  <conditionalFormatting sqref="B11:B40">
    <cfRule type="expression" dxfId="7" priority="1">
      <formula>A11=""</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EE6D4-7F6C-4AC2-AF83-FF0176DC6AB8}">
  <sheetPr>
    <tabColor theme="9" tint="0.39997558519241921"/>
  </sheetPr>
  <dimension ref="A1:AZ94"/>
  <sheetViews>
    <sheetView workbookViewId="0">
      <selection activeCell="A11" sqref="A11"/>
    </sheetView>
  </sheetViews>
  <sheetFormatPr defaultColWidth="9.140625" defaultRowHeight="15" x14ac:dyDescent="0.25"/>
  <cols>
    <col min="1" max="1" width="27.28515625" style="5" customWidth="1"/>
    <col min="2" max="2" width="40.7109375" style="5" customWidth="1"/>
    <col min="3" max="3" width="24.42578125" style="5" customWidth="1"/>
    <col min="4" max="16384" width="9.140625" style="5"/>
  </cols>
  <sheetData>
    <row r="1" spans="1:52" ht="20.25" thickBot="1" x14ac:dyDescent="0.35">
      <c r="A1" s="93" t="s">
        <v>11</v>
      </c>
    </row>
    <row r="2" spans="1:52" ht="15.75" thickTop="1" x14ac:dyDescent="0.25">
      <c r="A2" s="148" t="s">
        <v>238</v>
      </c>
      <c r="B2" s="148"/>
      <c r="C2" s="148"/>
      <c r="D2" s="148"/>
      <c r="E2" s="148"/>
      <c r="F2" s="148"/>
      <c r="G2" s="148"/>
      <c r="H2" s="148"/>
    </row>
    <row r="3" spans="1:52" x14ac:dyDescent="0.25">
      <c r="A3" s="5" t="s">
        <v>198</v>
      </c>
    </row>
    <row r="4" spans="1:52" x14ac:dyDescent="0.25">
      <c r="A4" s="149" t="s">
        <v>257</v>
      </c>
      <c r="B4" s="148"/>
      <c r="C4" s="148"/>
      <c r="D4" s="148"/>
      <c r="E4" s="148"/>
      <c r="F4" s="148"/>
      <c r="G4" s="148"/>
      <c r="H4" s="148"/>
      <c r="I4" s="148"/>
      <c r="J4" s="148"/>
      <c r="K4" s="148"/>
    </row>
    <row r="5" spans="1:52" x14ac:dyDescent="0.25">
      <c r="A5" s="38" t="s">
        <v>198</v>
      </c>
    </row>
    <row r="6" spans="1:52" x14ac:dyDescent="0.25">
      <c r="A6" s="94" t="s">
        <v>239</v>
      </c>
    </row>
    <row r="7" spans="1:52" ht="30" x14ac:dyDescent="0.25">
      <c r="A7" s="114" t="s">
        <v>133</v>
      </c>
      <c r="B7" s="114" t="s">
        <v>190</v>
      </c>
      <c r="C7" s="115" t="s">
        <v>314</v>
      </c>
    </row>
    <row r="8" spans="1:52" x14ac:dyDescent="0.25">
      <c r="A8" s="43" t="s">
        <v>191</v>
      </c>
      <c r="B8" s="43" t="str">
        <f>'Parameter Values'!B220</f>
        <v>Ages 20-74</v>
      </c>
      <c r="C8" s="44">
        <f>'Parameter Values'!C220</f>
        <v>7.63</v>
      </c>
    </row>
    <row r="9" spans="1:52" x14ac:dyDescent="0.25">
      <c r="A9" s="43" t="s">
        <v>192</v>
      </c>
      <c r="B9" s="43" t="str">
        <f>'Parameter Values'!B221</f>
        <v>Ages 20-64</v>
      </c>
      <c r="C9" s="44">
        <f>'Parameter Values'!C221</f>
        <v>6.8</v>
      </c>
    </row>
    <row r="10" spans="1:52" x14ac:dyDescent="0.25">
      <c r="A10" s="148" t="str">
        <f>RIGHT('Parameter Values'!A225,LEN('Parameter Values'!A225)-5)</f>
        <v>Absent more localized data on the proportion of the expected users falling into the age ranges above, applicants may apply a general assumption of 68% and 59% of overall induced trips falling into the walking and cycling age ranges, respectively, assuming a distribution matching the national average.</v>
      </c>
      <c r="B10" s="148"/>
      <c r="C10" s="148"/>
      <c r="D10" s="148"/>
      <c r="E10" s="148"/>
      <c r="F10" s="148"/>
      <c r="G10" s="148"/>
      <c r="H10" s="148"/>
      <c r="I10" s="148"/>
      <c r="J10" s="148"/>
      <c r="K10" s="148"/>
      <c r="L10" s="148"/>
      <c r="M10" s="148"/>
      <c r="N10" s="148"/>
      <c r="O10" s="148"/>
      <c r="P10" s="148"/>
      <c r="Q10" s="148"/>
      <c r="R10" s="148"/>
      <c r="S10" s="148"/>
      <c r="T10" s="148"/>
      <c r="U10" s="148"/>
      <c r="V10" s="148"/>
      <c r="W10" s="148"/>
    </row>
    <row r="11" spans="1:52" x14ac:dyDescent="0.25">
      <c r="A11" s="148" t="str">
        <f>RIGHT('Parameter Values'!A226,LEN('Parameter Values'!A226)-5)</f>
        <v xml:space="preserve">Applicants should ensure these monetization values are only applied to trips induced from non-active transportation modes within the relevant age ranges for each mode. Absent more localized data on the proportion of induced trips coming from non-active transportation modes, applicants may apply a general assumption of 89% of induced trips falling into that category, assuming a distribution matching the national average travel pattern. </v>
      </c>
      <c r="B11" s="148"/>
      <c r="C11" s="148"/>
      <c r="D11" s="148"/>
      <c r="E11" s="148"/>
      <c r="F11" s="148"/>
      <c r="G11" s="148"/>
      <c r="H11" s="148"/>
      <c r="I11" s="148"/>
      <c r="J11" s="148"/>
      <c r="K11" s="148"/>
      <c r="L11" s="148"/>
      <c r="M11" s="148"/>
      <c r="N11" s="148"/>
      <c r="O11" s="148"/>
      <c r="P11" s="148"/>
      <c r="Q11" s="148"/>
      <c r="R11" s="148"/>
      <c r="S11" s="148"/>
      <c r="T11" s="148"/>
      <c r="U11" s="148"/>
      <c r="V11" s="148"/>
      <c r="W11" s="148"/>
      <c r="X11" s="148"/>
      <c r="Y11" s="148"/>
      <c r="Z11" s="148"/>
      <c r="AA11" s="148"/>
      <c r="AB11" s="148"/>
      <c r="AC11" s="148"/>
      <c r="AD11" s="148"/>
      <c r="AE11" s="148"/>
      <c r="AF11" s="148"/>
      <c r="AG11" s="148"/>
      <c r="AH11" s="148"/>
      <c r="AI11" s="148"/>
      <c r="AJ11" s="148"/>
    </row>
    <row r="12" spans="1:52" x14ac:dyDescent="0.25">
      <c r="A12" s="38" t="s">
        <v>198</v>
      </c>
    </row>
    <row r="13" spans="1:52" ht="15.75" thickBot="1" x14ac:dyDescent="0.3">
      <c r="A13" s="94" t="s">
        <v>244</v>
      </c>
    </row>
    <row r="14" spans="1:52" x14ac:dyDescent="0.25">
      <c r="A14" s="104" t="s">
        <v>4</v>
      </c>
      <c r="B14" s="105" t="s">
        <v>11</v>
      </c>
      <c r="E14" s="10" t="s">
        <v>159</v>
      </c>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2"/>
    </row>
    <row r="15" spans="1:52" x14ac:dyDescent="0.25">
      <c r="A15" s="6">
        <f>'Project Information'!$B$9</f>
        <v>2028</v>
      </c>
      <c r="B15" s="160">
        <v>0</v>
      </c>
      <c r="E15" s="13"/>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s="14"/>
    </row>
    <row r="16" spans="1:52" x14ac:dyDescent="0.25">
      <c r="A16" s="1">
        <f>IF(A15&lt;'Project Information'!B$11,A15+1,"")</f>
        <v>2029</v>
      </c>
      <c r="B16" s="160">
        <v>0</v>
      </c>
      <c r="E16" s="13"/>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s="14"/>
    </row>
    <row r="17" spans="1:52" x14ac:dyDescent="0.25">
      <c r="A17" s="1">
        <f>IF(A16&lt;'Project Information'!B$11,A16+1,"")</f>
        <v>2030</v>
      </c>
      <c r="B17" s="160">
        <v>0</v>
      </c>
      <c r="E17" s="13"/>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s="14"/>
    </row>
    <row r="18" spans="1:52" x14ac:dyDescent="0.25">
      <c r="A18" s="1">
        <f>IF(A17&lt;'Project Information'!B$11,A17+1,"")</f>
        <v>2031</v>
      </c>
      <c r="B18" s="160">
        <v>0</v>
      </c>
      <c r="E18" s="13"/>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s="14"/>
    </row>
    <row r="19" spans="1:52" x14ac:dyDescent="0.25">
      <c r="A19" s="1">
        <f>IF(A18&lt;'Project Information'!B$11,A18+1,"")</f>
        <v>2032</v>
      </c>
      <c r="B19" s="160">
        <v>0</v>
      </c>
      <c r="E19" s="13"/>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s="14"/>
    </row>
    <row r="20" spans="1:52" x14ac:dyDescent="0.25">
      <c r="A20" s="1">
        <f>IF(A19&lt;'Project Information'!B$11,A19+1,"")</f>
        <v>2033</v>
      </c>
      <c r="B20" s="160">
        <v>0</v>
      </c>
      <c r="E20" s="13"/>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s="14"/>
    </row>
    <row r="21" spans="1:52" x14ac:dyDescent="0.25">
      <c r="A21" s="1">
        <f>IF(A20&lt;'Project Information'!B$11,A20+1,"")</f>
        <v>2034</v>
      </c>
      <c r="B21" s="160">
        <v>0</v>
      </c>
      <c r="E21" s="13"/>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s="14"/>
    </row>
    <row r="22" spans="1:52" x14ac:dyDescent="0.25">
      <c r="A22" s="1">
        <f>IF(A21&lt;'Project Information'!B$11,A21+1,"")</f>
        <v>2035</v>
      </c>
      <c r="B22" s="160">
        <v>0</v>
      </c>
      <c r="E22" s="13"/>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s="14"/>
    </row>
    <row r="23" spans="1:52" x14ac:dyDescent="0.25">
      <c r="A23" s="1">
        <f>IF(A22&lt;'Project Information'!B$11,A22+1,"")</f>
        <v>2036</v>
      </c>
      <c r="B23" s="160">
        <v>0</v>
      </c>
      <c r="E23" s="1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s="14"/>
    </row>
    <row r="24" spans="1:52" x14ac:dyDescent="0.25">
      <c r="A24" s="1">
        <f>IF(A23&lt;'Project Information'!B$11,A23+1,"")</f>
        <v>2037</v>
      </c>
      <c r="B24" s="160">
        <v>0</v>
      </c>
      <c r="E24" s="13"/>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s="14"/>
    </row>
    <row r="25" spans="1:52" x14ac:dyDescent="0.25">
      <c r="A25" s="1">
        <f>IF(A24&lt;'Project Information'!B$11,A24+1,"")</f>
        <v>2038</v>
      </c>
      <c r="B25" s="160">
        <v>0</v>
      </c>
      <c r="E25" s="13"/>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s="14"/>
    </row>
    <row r="26" spans="1:52" x14ac:dyDescent="0.25">
      <c r="A26" s="1">
        <f>IF(A25&lt;'Project Information'!B$11,A25+1,"")</f>
        <v>2039</v>
      </c>
      <c r="B26" s="160">
        <v>0</v>
      </c>
      <c r="E26" s="13"/>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s="14"/>
    </row>
    <row r="27" spans="1:52" x14ac:dyDescent="0.25">
      <c r="A27" s="1">
        <f>IF(A26&lt;'Project Information'!B$11,A26+1,"")</f>
        <v>2040</v>
      </c>
      <c r="B27" s="160">
        <v>0</v>
      </c>
      <c r="E27" s="13"/>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s="14"/>
    </row>
    <row r="28" spans="1:52" x14ac:dyDescent="0.25">
      <c r="A28" s="1">
        <f>IF(A27&lt;'Project Information'!B$11,A27+1,"")</f>
        <v>2041</v>
      </c>
      <c r="B28" s="160">
        <v>0</v>
      </c>
      <c r="E28" s="13"/>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s="14"/>
    </row>
    <row r="29" spans="1:52" x14ac:dyDescent="0.25">
      <c r="A29" s="1">
        <f>IF(A28&lt;'Project Information'!B$11,A28+1,"")</f>
        <v>2042</v>
      </c>
      <c r="B29" s="160">
        <v>0</v>
      </c>
      <c r="E29" s="13"/>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s="14"/>
    </row>
    <row r="30" spans="1:52" x14ac:dyDescent="0.25">
      <c r="A30" s="1">
        <f>IF(A29&lt;'Project Information'!B$11,A29+1,"")</f>
        <v>2043</v>
      </c>
      <c r="B30" s="160">
        <v>0</v>
      </c>
      <c r="E30" s="13"/>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s="14"/>
    </row>
    <row r="31" spans="1:52" x14ac:dyDescent="0.25">
      <c r="A31" s="1">
        <f>IF(A30&lt;'Project Information'!B$11,A30+1,"")</f>
        <v>2044</v>
      </c>
      <c r="B31" s="160">
        <v>0</v>
      </c>
      <c r="E31" s="13"/>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s="14"/>
    </row>
    <row r="32" spans="1:52" x14ac:dyDescent="0.25">
      <c r="A32" s="1">
        <f>IF(A31&lt;'Project Information'!B$11,A31+1,"")</f>
        <v>2045</v>
      </c>
      <c r="B32" s="160">
        <v>0</v>
      </c>
      <c r="E32" s="13"/>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s="14"/>
    </row>
    <row r="33" spans="1:52" x14ac:dyDescent="0.25">
      <c r="A33" s="1">
        <f>IF(A32&lt;'Project Information'!B$11,A32+1,"")</f>
        <v>2046</v>
      </c>
      <c r="B33" s="160">
        <v>0</v>
      </c>
      <c r="E33" s="1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s="14"/>
    </row>
    <row r="34" spans="1:52" x14ac:dyDescent="0.25">
      <c r="A34" s="1">
        <f>IF(A33&lt;'Project Information'!B$11,A33+1,"")</f>
        <v>2047</v>
      </c>
      <c r="B34" s="160">
        <v>0</v>
      </c>
      <c r="E34" s="13"/>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s="14"/>
    </row>
    <row r="35" spans="1:52" x14ac:dyDescent="0.25">
      <c r="A35" s="1">
        <f>IF(A34&lt;'Project Information'!B$11,A34+1,"")</f>
        <v>2048</v>
      </c>
      <c r="B35" s="160">
        <v>0</v>
      </c>
      <c r="E35" s="13"/>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s="14"/>
    </row>
    <row r="36" spans="1:52" x14ac:dyDescent="0.25">
      <c r="A36" s="1">
        <f>IF(A35&lt;'Project Information'!B$11,A35+1,"")</f>
        <v>2049</v>
      </c>
      <c r="B36" s="160">
        <v>0</v>
      </c>
      <c r="E36" s="13"/>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s="14"/>
    </row>
    <row r="37" spans="1:52" x14ac:dyDescent="0.25">
      <c r="A37" s="1">
        <f>IF(A36&lt;'Project Information'!B$11,A36+1,"")</f>
        <v>2050</v>
      </c>
      <c r="B37" s="160">
        <v>0</v>
      </c>
      <c r="E37" s="13"/>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s="14"/>
    </row>
    <row r="38" spans="1:52" x14ac:dyDescent="0.25">
      <c r="A38" s="1">
        <f>IF(A37&lt;'Project Information'!B$11,A37+1,"")</f>
        <v>2051</v>
      </c>
      <c r="B38" s="160">
        <v>0</v>
      </c>
      <c r="E38" s="13"/>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s="14"/>
    </row>
    <row r="39" spans="1:52" x14ac:dyDescent="0.25">
      <c r="A39" s="1">
        <f>IF(A38&lt;'Project Information'!B$11,A38+1,"")</f>
        <v>2052</v>
      </c>
      <c r="B39" s="160">
        <v>0</v>
      </c>
      <c r="E39" s="13"/>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s="14"/>
    </row>
    <row r="40" spans="1:52" x14ac:dyDescent="0.25">
      <c r="A40" s="1" t="str">
        <f>IF(A39&lt;'Project Information'!B$11,A39+1,"")</f>
        <v/>
      </c>
      <c r="B40" s="160">
        <v>0</v>
      </c>
      <c r="E40" s="13"/>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s="14"/>
    </row>
    <row r="41" spans="1:52" x14ac:dyDescent="0.25">
      <c r="A41" s="1" t="str">
        <f>IF(A40&lt;'Project Information'!B$11,A40+1,"")</f>
        <v/>
      </c>
      <c r="B41" s="160">
        <v>0</v>
      </c>
      <c r="E41" s="13"/>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s="14"/>
    </row>
    <row r="42" spans="1:52" x14ac:dyDescent="0.25">
      <c r="A42" s="1" t="str">
        <f>IF(A41&lt;'Project Information'!B$11,A41+1,"")</f>
        <v/>
      </c>
      <c r="B42" s="160">
        <v>0</v>
      </c>
      <c r="E42" s="13"/>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s="14"/>
    </row>
    <row r="43" spans="1:52" x14ac:dyDescent="0.25">
      <c r="A43" s="1" t="str">
        <f>IF(A42&lt;'Project Information'!B$11,A42+1,"")</f>
        <v/>
      </c>
      <c r="B43" s="160">
        <v>0</v>
      </c>
      <c r="E43" s="1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s="14"/>
    </row>
    <row r="44" spans="1:52" x14ac:dyDescent="0.25">
      <c r="A44" s="2" t="str">
        <f>IF(A43&lt;'Project Information'!B$11,A43+1,"")</f>
        <v/>
      </c>
      <c r="B44" s="116">
        <v>0</v>
      </c>
      <c r="E44" s="13"/>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s="14"/>
    </row>
    <row r="45" spans="1:52" x14ac:dyDescent="0.25">
      <c r="E45" s="13"/>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s="14"/>
    </row>
    <row r="46" spans="1:52" x14ac:dyDescent="0.25">
      <c r="E46" s="13"/>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s="14"/>
    </row>
    <row r="47" spans="1:52" x14ac:dyDescent="0.25">
      <c r="E47" s="13"/>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s="14"/>
    </row>
    <row r="48" spans="1:52" x14ac:dyDescent="0.25">
      <c r="E48" s="13"/>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s="14"/>
    </row>
    <row r="49" spans="5:52" x14ac:dyDescent="0.25">
      <c r="E49" s="13"/>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s="14"/>
    </row>
    <row r="50" spans="5:52" x14ac:dyDescent="0.25">
      <c r="E50" s="13"/>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s="14"/>
    </row>
    <row r="51" spans="5:52" x14ac:dyDescent="0.25">
      <c r="E51" s="13"/>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s="14"/>
    </row>
    <row r="52" spans="5:52" x14ac:dyDescent="0.25">
      <c r="E52" s="13"/>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s="14"/>
    </row>
    <row r="53" spans="5:52" x14ac:dyDescent="0.25">
      <c r="E53" s="1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s="14"/>
    </row>
    <row r="54" spans="5:52" x14ac:dyDescent="0.25">
      <c r="E54" s="13"/>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s="14"/>
    </row>
    <row r="55" spans="5:52" x14ac:dyDescent="0.25">
      <c r="E55" s="13"/>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s="14"/>
    </row>
    <row r="56" spans="5:52" x14ac:dyDescent="0.25">
      <c r="E56" s="13"/>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s="14"/>
    </row>
    <row r="57" spans="5:52" x14ac:dyDescent="0.25">
      <c r="E57" s="13"/>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s="14"/>
    </row>
    <row r="58" spans="5:52" x14ac:dyDescent="0.25">
      <c r="E58" s="13"/>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s="14"/>
    </row>
    <row r="59" spans="5:52" x14ac:dyDescent="0.25">
      <c r="E59" s="13"/>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s="14"/>
    </row>
    <row r="60" spans="5:52" x14ac:dyDescent="0.25">
      <c r="E60" s="13"/>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s="14"/>
    </row>
    <row r="61" spans="5:52" x14ac:dyDescent="0.25">
      <c r="E61" s="13"/>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s="14"/>
    </row>
    <row r="62" spans="5:52" x14ac:dyDescent="0.25">
      <c r="E62" s="13"/>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s="14"/>
    </row>
    <row r="63" spans="5:52" x14ac:dyDescent="0.25">
      <c r="E63" s="1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s="14"/>
    </row>
    <row r="64" spans="5:52" x14ac:dyDescent="0.25">
      <c r="E64" s="13"/>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s="14"/>
    </row>
    <row r="65" spans="5:52" x14ac:dyDescent="0.25">
      <c r="E65" s="13"/>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s="14"/>
    </row>
    <row r="66" spans="5:52" x14ac:dyDescent="0.25">
      <c r="E66" s="13"/>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s="14"/>
    </row>
    <row r="67" spans="5:52" x14ac:dyDescent="0.25">
      <c r="E67" s="13"/>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s="14"/>
    </row>
    <row r="68" spans="5:52" x14ac:dyDescent="0.25">
      <c r="E68" s="13"/>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s="14"/>
    </row>
    <row r="69" spans="5:52" x14ac:dyDescent="0.25">
      <c r="E69" s="13"/>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s="14"/>
    </row>
    <row r="70" spans="5:52" x14ac:dyDescent="0.25">
      <c r="E70" s="13"/>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s="14"/>
    </row>
    <row r="71" spans="5:52" x14ac:dyDescent="0.25">
      <c r="E71" s="13"/>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s="14"/>
    </row>
    <row r="72" spans="5:52" x14ac:dyDescent="0.25">
      <c r="E72" s="13"/>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s="14"/>
    </row>
    <row r="73" spans="5:52" x14ac:dyDescent="0.25">
      <c r="E73" s="1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s="14"/>
    </row>
    <row r="74" spans="5:52" x14ac:dyDescent="0.25">
      <c r="E74" s="13"/>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s="14"/>
    </row>
    <row r="75" spans="5:52" x14ac:dyDescent="0.25">
      <c r="E75" s="13"/>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s="14"/>
    </row>
    <row r="76" spans="5:52" x14ac:dyDescent="0.25">
      <c r="E76" s="13"/>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s="14"/>
    </row>
    <row r="77" spans="5:52" x14ac:dyDescent="0.25">
      <c r="E77" s="13"/>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s="14"/>
    </row>
    <row r="78" spans="5:52" x14ac:dyDescent="0.25">
      <c r="E78" s="13"/>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s="14"/>
    </row>
    <row r="79" spans="5:52" x14ac:dyDescent="0.25">
      <c r="E79" s="13"/>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s="14"/>
    </row>
    <row r="80" spans="5:52" x14ac:dyDescent="0.25">
      <c r="E80" s="13"/>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s="14"/>
    </row>
    <row r="81" spans="5:52" x14ac:dyDescent="0.25">
      <c r="E81" s="13"/>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s="14"/>
    </row>
    <row r="82" spans="5:52" x14ac:dyDescent="0.25">
      <c r="E82" s="13"/>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s="14"/>
    </row>
    <row r="83" spans="5:52" x14ac:dyDescent="0.25">
      <c r="E83" s="1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s="14"/>
    </row>
    <row r="84" spans="5:52" x14ac:dyDescent="0.25">
      <c r="E84" s="13"/>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s="14"/>
    </row>
    <row r="85" spans="5:52" x14ac:dyDescent="0.25">
      <c r="E85" s="13"/>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s="14"/>
    </row>
    <row r="86" spans="5:52" x14ac:dyDescent="0.25">
      <c r="E86" s="13"/>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s="14"/>
    </row>
    <row r="87" spans="5:52" x14ac:dyDescent="0.25">
      <c r="E87" s="13"/>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s="14"/>
    </row>
    <row r="88" spans="5:52" x14ac:dyDescent="0.25">
      <c r="E88" s="13"/>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s="14"/>
    </row>
    <row r="89" spans="5:52" x14ac:dyDescent="0.25">
      <c r="E89" s="13"/>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s="14"/>
    </row>
    <row r="90" spans="5:52" x14ac:dyDescent="0.25">
      <c r="E90" s="13"/>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s="14"/>
    </row>
    <row r="91" spans="5:52" x14ac:dyDescent="0.25">
      <c r="E91" s="13"/>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s="14"/>
    </row>
    <row r="92" spans="5:52" x14ac:dyDescent="0.25">
      <c r="E92" s="13"/>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s="14"/>
    </row>
    <row r="93" spans="5:52" x14ac:dyDescent="0.25">
      <c r="E93" s="13"/>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s="14"/>
    </row>
    <row r="94" spans="5:52" ht="15.75" thickBot="1" x14ac:dyDescent="0.3">
      <c r="E94" s="15"/>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c r="AT94" s="16"/>
      <c r="AU94" s="16"/>
      <c r="AV94" s="16"/>
      <c r="AW94" s="16"/>
      <c r="AX94" s="16"/>
      <c r="AY94" s="16"/>
      <c r="AZ94" s="17"/>
    </row>
  </sheetData>
  <conditionalFormatting sqref="B15:B44">
    <cfRule type="expression" dxfId="6" priority="1">
      <formula>A15=""</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BE35F-05A6-46FB-8C80-3085CA6C95D6}">
  <sheetPr>
    <tabColor theme="9" tint="0.39997558519241921"/>
  </sheetPr>
  <dimension ref="A1:AZ102"/>
  <sheetViews>
    <sheetView topLeftCell="A3" zoomScaleNormal="100" workbookViewId="0">
      <selection activeCell="D11" sqref="D11"/>
    </sheetView>
  </sheetViews>
  <sheetFormatPr defaultColWidth="9.140625" defaultRowHeight="15" x14ac:dyDescent="0.25"/>
  <cols>
    <col min="1" max="1" width="33.5703125" style="5" customWidth="1"/>
    <col min="2" max="2" width="30" style="5" customWidth="1"/>
    <col min="3" max="3" width="21.85546875" style="5" customWidth="1"/>
    <col min="4" max="4" width="17.85546875" style="5" customWidth="1"/>
    <col min="5" max="16384" width="9.140625" style="5"/>
  </cols>
  <sheetData>
    <row r="1" spans="1:11" ht="20.25" thickBot="1" x14ac:dyDescent="0.35">
      <c r="A1" s="93" t="s">
        <v>18</v>
      </c>
    </row>
    <row r="2" spans="1:11" ht="15.75" thickTop="1" x14ac:dyDescent="0.25">
      <c r="A2" s="148" t="s">
        <v>238</v>
      </c>
      <c r="B2" s="148"/>
      <c r="C2" s="148"/>
      <c r="D2" s="148"/>
      <c r="E2" s="148"/>
      <c r="F2" s="148"/>
      <c r="G2" s="148"/>
      <c r="H2" s="148"/>
    </row>
    <row r="3" spans="1:11" x14ac:dyDescent="0.25">
      <c r="A3" s="5" t="s">
        <v>198</v>
      </c>
    </row>
    <row r="4" spans="1:11" x14ac:dyDescent="0.25">
      <c r="A4" s="149" t="s">
        <v>257</v>
      </c>
      <c r="B4" s="148"/>
      <c r="C4" s="148"/>
      <c r="D4" s="148"/>
      <c r="E4" s="148"/>
      <c r="F4" s="148"/>
      <c r="G4" s="148"/>
      <c r="H4" s="148"/>
      <c r="I4" s="148"/>
      <c r="J4" s="148"/>
      <c r="K4" s="148"/>
    </row>
    <row r="5" spans="1:11" x14ac:dyDescent="0.25">
      <c r="A5" s="5" t="s">
        <v>198</v>
      </c>
    </row>
    <row r="6" spans="1:11" x14ac:dyDescent="0.25">
      <c r="A6" s="149" t="s">
        <v>324</v>
      </c>
      <c r="B6" s="148"/>
      <c r="C6" s="148"/>
      <c r="D6" s="148"/>
      <c r="E6" s="148"/>
      <c r="F6" s="148"/>
    </row>
    <row r="7" spans="1:11" x14ac:dyDescent="0.25">
      <c r="A7" s="149" t="s">
        <v>327</v>
      </c>
      <c r="B7" s="148"/>
      <c r="C7" s="148"/>
      <c r="D7" s="148"/>
      <c r="E7" s="148"/>
      <c r="F7" s="148"/>
      <c r="G7" s="148"/>
      <c r="H7" s="148"/>
      <c r="I7" s="148"/>
    </row>
    <row r="8" spans="1:11" x14ac:dyDescent="0.25">
      <c r="A8" s="149" t="s">
        <v>329</v>
      </c>
      <c r="B8" s="148"/>
      <c r="C8" s="148"/>
      <c r="D8" s="148"/>
      <c r="E8" s="148"/>
      <c r="F8" s="148"/>
    </row>
    <row r="9" spans="1:11" x14ac:dyDescent="0.25">
      <c r="A9" s="94" t="s">
        <v>309</v>
      </c>
    </row>
    <row r="10" spans="1:11" x14ac:dyDescent="0.25">
      <c r="A10" s="114" t="s">
        <v>310</v>
      </c>
      <c r="B10" s="104" t="s">
        <v>313</v>
      </c>
      <c r="C10" s="104" t="s">
        <v>312</v>
      </c>
      <c r="D10" s="104" t="s">
        <v>18</v>
      </c>
    </row>
    <row r="11" spans="1:11" x14ac:dyDescent="0.25">
      <c r="A11" s="152" t="s">
        <v>326</v>
      </c>
      <c r="B11" s="164">
        <f>SUM('Capital Costs'!B9:B23)+'Capital Costs'!A5</f>
        <v>66641364.369879462</v>
      </c>
      <c r="C11" s="23">
        <v>30</v>
      </c>
      <c r="D11" s="102">
        <f>IF(C11&gt;'Project Information'!$B$10,IFERROR(B11*((C11-'Project Information'!$B$10)/C11),0),0)</f>
        <v>11106894.061646577</v>
      </c>
    </row>
    <row r="12" spans="1:11" x14ac:dyDescent="0.25">
      <c r="A12" s="152" t="s">
        <v>311</v>
      </c>
      <c r="B12" s="159">
        <v>0</v>
      </c>
      <c r="C12" s="23">
        <v>0</v>
      </c>
      <c r="D12" s="102">
        <f>IF(C12&gt;'Project Information'!$B$10,IFERROR(B12*((C12-'Project Information'!$B$10)/C12),0),0)</f>
        <v>0</v>
      </c>
    </row>
    <row r="13" spans="1:11" x14ac:dyDescent="0.25">
      <c r="A13" s="152" t="s">
        <v>311</v>
      </c>
      <c r="B13" s="159">
        <v>0</v>
      </c>
      <c r="C13" s="23">
        <v>0</v>
      </c>
      <c r="D13" s="102">
        <f>IF(C13&gt;'Project Information'!$B$10,IFERROR(B13*((C13-'Project Information'!$B$10)/C13),0),0)</f>
        <v>0</v>
      </c>
    </row>
    <row r="14" spans="1:11" x14ac:dyDescent="0.25">
      <c r="A14" s="152" t="s">
        <v>311</v>
      </c>
      <c r="B14" s="159">
        <v>0</v>
      </c>
      <c r="C14" s="23">
        <v>0</v>
      </c>
      <c r="D14" s="102">
        <f>IF(C14&gt;'Project Information'!$B$10,IFERROR(B14*((C14-'Project Information'!$B$10)/C14),0),0)</f>
        <v>0</v>
      </c>
    </row>
    <row r="15" spans="1:11" x14ac:dyDescent="0.25">
      <c r="A15" s="152" t="s">
        <v>311</v>
      </c>
      <c r="B15" s="159">
        <v>0</v>
      </c>
      <c r="C15" s="23">
        <v>0</v>
      </c>
      <c r="D15" s="102">
        <f>IF(C15&gt;'Project Information'!$B$10,IFERROR(B15*((C15-'Project Information'!$B$10)/C15),0),0)</f>
        <v>0</v>
      </c>
    </row>
    <row r="16" spans="1:11" x14ac:dyDescent="0.25">
      <c r="A16" s="152" t="s">
        <v>311</v>
      </c>
      <c r="B16" s="159">
        <v>0</v>
      </c>
      <c r="C16" s="23">
        <v>0</v>
      </c>
      <c r="D16" s="102">
        <f>IF(C16&gt;'Project Information'!$B$10,IFERROR(B16*((C16-'Project Information'!$B$10)/C16),0),0)</f>
        <v>0</v>
      </c>
    </row>
    <row r="17" spans="1:52" x14ac:dyDescent="0.25">
      <c r="A17" s="3" t="s">
        <v>325</v>
      </c>
      <c r="B17" s="154"/>
      <c r="C17" s="155"/>
      <c r="D17" s="102">
        <f>SUM(D11:D16)</f>
        <v>11106894.061646577</v>
      </c>
    </row>
    <row r="18" spans="1:52" x14ac:dyDescent="0.25">
      <c r="A18" s="5" t="s">
        <v>198</v>
      </c>
    </row>
    <row r="19" spans="1:52" x14ac:dyDescent="0.25">
      <c r="A19" s="149" t="s">
        <v>352</v>
      </c>
      <c r="B19" s="149"/>
      <c r="C19" s="149"/>
      <c r="D19" s="149"/>
      <c r="E19" s="149"/>
      <c r="F19" s="149"/>
      <c r="G19" s="149"/>
    </row>
    <row r="20" spans="1:52" x14ac:dyDescent="0.25">
      <c r="A20" s="149" t="s">
        <v>330</v>
      </c>
      <c r="B20" s="149"/>
      <c r="C20" s="149"/>
      <c r="D20" s="149"/>
    </row>
    <row r="21" spans="1:52" ht="15.75" thickBot="1" x14ac:dyDescent="0.3">
      <c r="A21" s="94" t="s">
        <v>308</v>
      </c>
    </row>
    <row r="22" spans="1:52" x14ac:dyDescent="0.25">
      <c r="A22" s="104" t="s">
        <v>4</v>
      </c>
      <c r="B22" s="105" t="s">
        <v>18</v>
      </c>
      <c r="E22" s="10" t="s">
        <v>159</v>
      </c>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2"/>
    </row>
    <row r="23" spans="1:52" x14ac:dyDescent="0.25">
      <c r="A23" s="6">
        <f>'Project Information'!$B$9</f>
        <v>2028</v>
      </c>
      <c r="B23" s="26">
        <f>IF(A23='Project Information'!$B$6+'Project Information'!$B$8+'Project Information'!$B$10+('Project Information'!$B$7-'Project Information'!$B$6-1),$D$17,0)</f>
        <v>0</v>
      </c>
      <c r="E23" s="1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s="14"/>
    </row>
    <row r="24" spans="1:52" x14ac:dyDescent="0.25">
      <c r="A24" s="1">
        <f>IF(A23&lt;'Project Information'!B$11,A23+1,"")</f>
        <v>2029</v>
      </c>
      <c r="B24" s="26">
        <f>IF(A24='Project Information'!$B$6+'Project Information'!$B$8+'Project Information'!$B$10+('Project Information'!$B$7-'Project Information'!$B$6-1),$D$17,0)</f>
        <v>0</v>
      </c>
      <c r="E24" s="13"/>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s="14"/>
    </row>
    <row r="25" spans="1:52" x14ac:dyDescent="0.25">
      <c r="A25" s="1">
        <f>IF(A24&lt;'Project Information'!B$11,A24+1,"")</f>
        <v>2030</v>
      </c>
      <c r="B25" s="26">
        <f>IF(A25='Project Information'!$B$6+'Project Information'!$B$8+'Project Information'!$B$10+('Project Information'!$B$7-'Project Information'!$B$6-1),$D$17,0)</f>
        <v>0</v>
      </c>
      <c r="E25" s="13"/>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s="14"/>
    </row>
    <row r="26" spans="1:52" x14ac:dyDescent="0.25">
      <c r="A26" s="1">
        <f>IF(A25&lt;'Project Information'!B$11,A25+1,"")</f>
        <v>2031</v>
      </c>
      <c r="B26" s="26">
        <f>IF(A26='Project Information'!$B$6+'Project Information'!$B$8+'Project Information'!$B$10+('Project Information'!$B$7-'Project Information'!$B$6-1),$D$17,0)</f>
        <v>0</v>
      </c>
      <c r="E26" s="13"/>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s="14"/>
    </row>
    <row r="27" spans="1:52" x14ac:dyDescent="0.25">
      <c r="A27" s="1">
        <f>IF(A26&lt;'Project Information'!B$11,A26+1,"")</f>
        <v>2032</v>
      </c>
      <c r="B27" s="26">
        <f>IF(A27='Project Information'!$B$6+'Project Information'!$B$8+'Project Information'!$B$10+('Project Information'!$B$7-'Project Information'!$B$6-1),$D$17,0)</f>
        <v>0</v>
      </c>
      <c r="E27" s="13"/>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s="14"/>
    </row>
    <row r="28" spans="1:52" x14ac:dyDescent="0.25">
      <c r="A28" s="1">
        <f>IF(A27&lt;'Project Information'!B$11,A27+1,"")</f>
        <v>2033</v>
      </c>
      <c r="B28" s="26">
        <f>IF(A28='Project Information'!$B$6+'Project Information'!$B$8+'Project Information'!$B$10+('Project Information'!$B$7-'Project Information'!$B$6-1),$D$17,0)</f>
        <v>0</v>
      </c>
      <c r="E28" s="13"/>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s="14"/>
    </row>
    <row r="29" spans="1:52" x14ac:dyDescent="0.25">
      <c r="A29" s="1">
        <f>IF(A28&lt;'Project Information'!B$11,A28+1,"")</f>
        <v>2034</v>
      </c>
      <c r="B29" s="26">
        <f>IF(A29='Project Information'!$B$6+'Project Information'!$B$8+'Project Information'!$B$10+('Project Information'!$B$7-'Project Information'!$B$6-1),$D$17,0)</f>
        <v>0</v>
      </c>
      <c r="E29" s="13"/>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s="14"/>
    </row>
    <row r="30" spans="1:52" x14ac:dyDescent="0.25">
      <c r="A30" s="1">
        <f>IF(A29&lt;'Project Information'!B$11,A29+1,"")</f>
        <v>2035</v>
      </c>
      <c r="B30" s="26">
        <f>IF(A30='Project Information'!$B$6+'Project Information'!$B$8+'Project Information'!$B$10+('Project Information'!$B$7-'Project Information'!$B$6-1),$D$17,0)</f>
        <v>0</v>
      </c>
      <c r="E30" s="13"/>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s="14"/>
    </row>
    <row r="31" spans="1:52" x14ac:dyDescent="0.25">
      <c r="A31" s="1">
        <f>IF(A30&lt;'Project Information'!B$11,A30+1,"")</f>
        <v>2036</v>
      </c>
      <c r="B31" s="26">
        <f>IF(A31='Project Information'!$B$6+'Project Information'!$B$8+'Project Information'!$B$10+('Project Information'!$B$7-'Project Information'!$B$6-1),$D$17,0)</f>
        <v>0</v>
      </c>
      <c r="E31" s="13"/>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s="14"/>
    </row>
    <row r="32" spans="1:52" x14ac:dyDescent="0.25">
      <c r="A32" s="1">
        <f>IF(A31&lt;'Project Information'!B$11,A31+1,"")</f>
        <v>2037</v>
      </c>
      <c r="B32" s="26">
        <f>IF(A32='Project Information'!$B$6+'Project Information'!$B$8+'Project Information'!$B$10+('Project Information'!$B$7-'Project Information'!$B$6-1),$D$17,0)</f>
        <v>0</v>
      </c>
      <c r="E32" s="13"/>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s="14"/>
    </row>
    <row r="33" spans="1:52" x14ac:dyDescent="0.25">
      <c r="A33" s="1">
        <f>IF(A32&lt;'Project Information'!B$11,A32+1,"")</f>
        <v>2038</v>
      </c>
      <c r="B33" s="26">
        <f>IF(A33='Project Information'!$B$6+'Project Information'!$B$8+'Project Information'!$B$10+('Project Information'!$B$7-'Project Information'!$B$6-1),$D$17,0)</f>
        <v>0</v>
      </c>
      <c r="E33" s="1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s="14"/>
    </row>
    <row r="34" spans="1:52" x14ac:dyDescent="0.25">
      <c r="A34" s="1">
        <f>IF(A33&lt;'Project Information'!B$11,A33+1,"")</f>
        <v>2039</v>
      </c>
      <c r="B34" s="26">
        <f>IF(A34='Project Information'!$B$6+'Project Information'!$B$8+'Project Information'!$B$10+('Project Information'!$B$7-'Project Information'!$B$6-1),$D$17,0)</f>
        <v>0</v>
      </c>
      <c r="E34" s="13"/>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s="14"/>
    </row>
    <row r="35" spans="1:52" x14ac:dyDescent="0.25">
      <c r="A35" s="1">
        <f>IF(A34&lt;'Project Information'!B$11,A34+1,"")</f>
        <v>2040</v>
      </c>
      <c r="B35" s="26">
        <f>IF(A35='Project Information'!$B$6+'Project Information'!$B$8+'Project Information'!$B$10+('Project Information'!$B$7-'Project Information'!$B$6-1),$D$17,0)</f>
        <v>0</v>
      </c>
      <c r="E35" s="13"/>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s="14"/>
    </row>
    <row r="36" spans="1:52" x14ac:dyDescent="0.25">
      <c r="A36" s="1">
        <f>IF(A35&lt;'Project Information'!B$11,A35+1,"")</f>
        <v>2041</v>
      </c>
      <c r="B36" s="26">
        <f>IF(A36='Project Information'!$B$6+'Project Information'!$B$8+'Project Information'!$B$10+('Project Information'!$B$7-'Project Information'!$B$6-1),$D$17,0)</f>
        <v>0</v>
      </c>
      <c r="E36" s="13"/>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s="14"/>
    </row>
    <row r="37" spans="1:52" x14ac:dyDescent="0.25">
      <c r="A37" s="1">
        <f>IF(A36&lt;'Project Information'!B$11,A36+1,"")</f>
        <v>2042</v>
      </c>
      <c r="B37" s="26">
        <f>IF(A37='Project Information'!$B$6+'Project Information'!$B$8+'Project Information'!$B$10+('Project Information'!$B$7-'Project Information'!$B$6-1),$D$17,0)</f>
        <v>0</v>
      </c>
      <c r="E37" s="13"/>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s="14"/>
    </row>
    <row r="38" spans="1:52" x14ac:dyDescent="0.25">
      <c r="A38" s="1">
        <f>IF(A37&lt;'Project Information'!B$11,A37+1,"")</f>
        <v>2043</v>
      </c>
      <c r="B38" s="26">
        <f>IF(A38='Project Information'!$B$6+'Project Information'!$B$8+'Project Information'!$B$10+('Project Information'!$B$7-'Project Information'!$B$6-1),$D$17,0)</f>
        <v>0</v>
      </c>
      <c r="E38" s="13"/>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s="14"/>
    </row>
    <row r="39" spans="1:52" x14ac:dyDescent="0.25">
      <c r="A39" s="1">
        <f>IF(A38&lt;'Project Information'!B$11,A38+1,"")</f>
        <v>2044</v>
      </c>
      <c r="B39" s="26">
        <f>IF(A39='Project Information'!$B$6+'Project Information'!$B$8+'Project Information'!$B$10+('Project Information'!$B$7-'Project Information'!$B$6-1),$D$17,0)</f>
        <v>0</v>
      </c>
      <c r="E39" s="13"/>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s="14"/>
    </row>
    <row r="40" spans="1:52" x14ac:dyDescent="0.25">
      <c r="A40" s="1">
        <f>IF(A39&lt;'Project Information'!B$11,A39+1,"")</f>
        <v>2045</v>
      </c>
      <c r="B40" s="26">
        <f>IF(A40='Project Information'!$B$6+'Project Information'!$B$8+'Project Information'!$B$10+('Project Information'!$B$7-'Project Information'!$B$6-1),$D$17,0)</f>
        <v>0</v>
      </c>
      <c r="E40" s="13"/>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s="14"/>
    </row>
    <row r="41" spans="1:52" x14ac:dyDescent="0.25">
      <c r="A41" s="1">
        <f>IF(A40&lt;'Project Information'!B$11,A40+1,"")</f>
        <v>2046</v>
      </c>
      <c r="B41" s="26">
        <f>IF(A41='Project Information'!$B$6+'Project Information'!$B$8+'Project Information'!$B$10+('Project Information'!$B$7-'Project Information'!$B$6-1),$D$17,0)</f>
        <v>0</v>
      </c>
      <c r="E41" s="13"/>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s="14"/>
    </row>
    <row r="42" spans="1:52" x14ac:dyDescent="0.25">
      <c r="A42" s="1">
        <f>IF(A41&lt;'Project Information'!B$11,A41+1,"")</f>
        <v>2047</v>
      </c>
      <c r="B42" s="26">
        <f>IF(A42='Project Information'!$B$6+'Project Information'!$B$8+'Project Information'!$B$10+('Project Information'!$B$7-'Project Information'!$B$6-1),$D$17,0)</f>
        <v>0</v>
      </c>
      <c r="E42" s="13"/>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s="14"/>
    </row>
    <row r="43" spans="1:52" x14ac:dyDescent="0.25">
      <c r="A43" s="1">
        <f>IF(A42&lt;'Project Information'!B$11,A42+1,"")</f>
        <v>2048</v>
      </c>
      <c r="B43" s="26">
        <f>IF(A43='Project Information'!$B$6+'Project Information'!$B$8+'Project Information'!$B$10+('Project Information'!$B$7-'Project Information'!$B$6-1),$D$17,0)</f>
        <v>0</v>
      </c>
      <c r="E43" s="1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s="14"/>
    </row>
    <row r="44" spans="1:52" x14ac:dyDescent="0.25">
      <c r="A44" s="1">
        <f>IF(A43&lt;'Project Information'!B$11,A43+1,"")</f>
        <v>2049</v>
      </c>
      <c r="B44" s="26">
        <f>IF(A44='Project Information'!$B$6+'Project Information'!$B$8+'Project Information'!$B$10+('Project Information'!$B$7-'Project Information'!$B$6-1),$D$17,0)</f>
        <v>0</v>
      </c>
      <c r="E44" s="13"/>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s="14"/>
    </row>
    <row r="45" spans="1:52" x14ac:dyDescent="0.25">
      <c r="A45" s="1">
        <f>IF(A44&lt;'Project Information'!B$11,A44+1,"")</f>
        <v>2050</v>
      </c>
      <c r="B45" s="26">
        <f>IF(A45='Project Information'!$B$6+'Project Information'!$B$8+'Project Information'!$B$10+('Project Information'!$B$7-'Project Information'!$B$6-1),$D$17,0)</f>
        <v>0</v>
      </c>
      <c r="E45" s="13"/>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s="14"/>
    </row>
    <row r="46" spans="1:52" x14ac:dyDescent="0.25">
      <c r="A46" s="1">
        <f>IF(A45&lt;'Project Information'!B$11,A45+1,"")</f>
        <v>2051</v>
      </c>
      <c r="B46" s="26">
        <f>IF(A46='Project Information'!$B$6+'Project Information'!$B$8+'Project Information'!$B$10+('Project Information'!$B$7-'Project Information'!$B$6-1),$D$17,0)</f>
        <v>0</v>
      </c>
      <c r="E46" s="13"/>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s="14"/>
    </row>
    <row r="47" spans="1:52" x14ac:dyDescent="0.25">
      <c r="A47" s="1">
        <f>IF(A46&lt;'Project Information'!B$11,A46+1,"")</f>
        <v>2052</v>
      </c>
      <c r="B47" s="26">
        <f>IF(A47='Project Information'!$B$6+'Project Information'!$B$8+'Project Information'!$B$10+('Project Information'!$B$7-'Project Information'!$B$6-1),$D$17,0)</f>
        <v>11106894.061646577</v>
      </c>
      <c r="E47" s="13"/>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s="14"/>
    </row>
    <row r="48" spans="1:52" x14ac:dyDescent="0.25">
      <c r="A48" s="1" t="str">
        <f>IF(A47&lt;'Project Information'!B$11,A47+1,"")</f>
        <v/>
      </c>
      <c r="B48" s="26">
        <f>IF(A48='Project Information'!$B$6+'Project Information'!$B$8+'Project Information'!$B$10+('Project Information'!$B$7-'Project Information'!$B$6-1),$D$17,0)</f>
        <v>0</v>
      </c>
      <c r="E48" s="13"/>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s="14"/>
    </row>
    <row r="49" spans="1:52" x14ac:dyDescent="0.25">
      <c r="A49" s="1" t="str">
        <f>IF(A48&lt;'Project Information'!B$11,A48+1,"")</f>
        <v/>
      </c>
      <c r="B49" s="26">
        <f>IF(A49='Project Information'!$B$6+'Project Information'!$B$8+'Project Information'!$B$10+('Project Information'!$B$7-'Project Information'!$B$6-1),$D$17,0)</f>
        <v>0</v>
      </c>
      <c r="E49" s="13"/>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s="14"/>
    </row>
    <row r="50" spans="1:52" x14ac:dyDescent="0.25">
      <c r="A50" s="1" t="str">
        <f>IF(A49&lt;'Project Information'!B$11,A49+1,"")</f>
        <v/>
      </c>
      <c r="B50" s="26">
        <f>IF(A50='Project Information'!$B$6+'Project Information'!$B$8+'Project Information'!$B$10+('Project Information'!$B$7-'Project Information'!$B$6-1),$D$17,0)</f>
        <v>0</v>
      </c>
      <c r="E50" s="13"/>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s="14"/>
    </row>
    <row r="51" spans="1:52" x14ac:dyDescent="0.25">
      <c r="A51" s="1" t="str">
        <f>IF(A50&lt;'Project Information'!B$11,A50+1,"")</f>
        <v/>
      </c>
      <c r="B51" s="26">
        <f>IF(A51='Project Information'!$B$6+'Project Information'!$B$8+'Project Information'!$B$10+('Project Information'!$B$7-'Project Information'!$B$6-1),$D$17,0)</f>
        <v>0</v>
      </c>
      <c r="E51" s="13"/>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s="14"/>
    </row>
    <row r="52" spans="1:52" x14ac:dyDescent="0.25">
      <c r="A52" s="2" t="str">
        <f>IF(A51&lt;'Project Information'!B$11,A51+1,"")</f>
        <v/>
      </c>
      <c r="B52" s="161">
        <f>IF(A52='Project Information'!$B$6+'Project Information'!$B$8+'Project Information'!$B$10+('Project Information'!$B$7-'Project Information'!$B$6-1),$D$17,0)</f>
        <v>0</v>
      </c>
      <c r="E52" s="13"/>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s="14"/>
    </row>
    <row r="53" spans="1:52" x14ac:dyDescent="0.25">
      <c r="E53" s="1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s="14"/>
    </row>
    <row r="54" spans="1:52" x14ac:dyDescent="0.25">
      <c r="E54" s="13"/>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s="14"/>
    </row>
    <row r="55" spans="1:52" x14ac:dyDescent="0.25">
      <c r="E55" s="13"/>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s="14"/>
    </row>
    <row r="56" spans="1:52" x14ac:dyDescent="0.25">
      <c r="E56" s="13"/>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s="14"/>
    </row>
    <row r="57" spans="1:52" x14ac:dyDescent="0.25">
      <c r="E57" s="13"/>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s="14"/>
    </row>
    <row r="58" spans="1:52" x14ac:dyDescent="0.25">
      <c r="E58" s="13"/>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s="14"/>
    </row>
    <row r="59" spans="1:52" x14ac:dyDescent="0.25">
      <c r="E59" s="13"/>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s="14"/>
    </row>
    <row r="60" spans="1:52" x14ac:dyDescent="0.25">
      <c r="E60" s="13"/>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s="14"/>
    </row>
    <row r="61" spans="1:52" x14ac:dyDescent="0.25">
      <c r="E61" s="13"/>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s="14"/>
    </row>
    <row r="62" spans="1:52" x14ac:dyDescent="0.25">
      <c r="E62" s="13"/>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s="14"/>
    </row>
    <row r="63" spans="1:52" x14ac:dyDescent="0.25">
      <c r="E63" s="1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s="14"/>
    </row>
    <row r="64" spans="1:52" x14ac:dyDescent="0.25">
      <c r="E64" s="13"/>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s="14"/>
    </row>
    <row r="65" spans="5:52" x14ac:dyDescent="0.25">
      <c r="E65" s="13"/>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s="14"/>
    </row>
    <row r="66" spans="5:52" x14ac:dyDescent="0.25">
      <c r="E66" s="13"/>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s="14"/>
    </row>
    <row r="67" spans="5:52" x14ac:dyDescent="0.25">
      <c r="E67" s="13"/>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s="14"/>
    </row>
    <row r="68" spans="5:52" x14ac:dyDescent="0.25">
      <c r="E68" s="13"/>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s="14"/>
    </row>
    <row r="69" spans="5:52" x14ac:dyDescent="0.25">
      <c r="E69" s="13"/>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s="14"/>
    </row>
    <row r="70" spans="5:52" x14ac:dyDescent="0.25">
      <c r="E70" s="13"/>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s="14"/>
    </row>
    <row r="71" spans="5:52" x14ac:dyDescent="0.25">
      <c r="E71" s="13"/>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s="14"/>
    </row>
    <row r="72" spans="5:52" x14ac:dyDescent="0.25">
      <c r="E72" s="13"/>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s="14"/>
    </row>
    <row r="73" spans="5:52" x14ac:dyDescent="0.25">
      <c r="E73" s="1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s="14"/>
    </row>
    <row r="74" spans="5:52" x14ac:dyDescent="0.25">
      <c r="E74" s="13"/>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s="14"/>
    </row>
    <row r="75" spans="5:52" x14ac:dyDescent="0.25">
      <c r="E75" s="13"/>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s="14"/>
    </row>
    <row r="76" spans="5:52" x14ac:dyDescent="0.25">
      <c r="E76" s="13"/>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s="14"/>
    </row>
    <row r="77" spans="5:52" x14ac:dyDescent="0.25">
      <c r="E77" s="13"/>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s="14"/>
    </row>
    <row r="78" spans="5:52" x14ac:dyDescent="0.25">
      <c r="E78" s="13"/>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s="14"/>
    </row>
    <row r="79" spans="5:52" x14ac:dyDescent="0.25">
      <c r="E79" s="13"/>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s="14"/>
    </row>
    <row r="80" spans="5:52" x14ac:dyDescent="0.25">
      <c r="E80" s="13"/>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s="14"/>
    </row>
    <row r="81" spans="5:52" x14ac:dyDescent="0.25">
      <c r="E81" s="13"/>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s="14"/>
    </row>
    <row r="82" spans="5:52" x14ac:dyDescent="0.25">
      <c r="E82" s="13"/>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s="14"/>
    </row>
    <row r="83" spans="5:52" x14ac:dyDescent="0.25">
      <c r="E83" s="1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s="14"/>
    </row>
    <row r="84" spans="5:52" x14ac:dyDescent="0.25">
      <c r="E84" s="13"/>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s="14"/>
    </row>
    <row r="85" spans="5:52" x14ac:dyDescent="0.25">
      <c r="E85" s="13"/>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s="14"/>
    </row>
    <row r="86" spans="5:52" x14ac:dyDescent="0.25">
      <c r="E86" s="13"/>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s="14"/>
    </row>
    <row r="87" spans="5:52" x14ac:dyDescent="0.25">
      <c r="E87" s="13"/>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s="14"/>
    </row>
    <row r="88" spans="5:52" x14ac:dyDescent="0.25">
      <c r="E88" s="13"/>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s="14"/>
    </row>
    <row r="89" spans="5:52" x14ac:dyDescent="0.25">
      <c r="E89" s="13"/>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s="14"/>
    </row>
    <row r="90" spans="5:52" x14ac:dyDescent="0.25">
      <c r="E90" s="13"/>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s="14"/>
    </row>
    <row r="91" spans="5:52" x14ac:dyDescent="0.25">
      <c r="E91" s="13"/>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s="14"/>
    </row>
    <row r="92" spans="5:52" x14ac:dyDescent="0.25">
      <c r="E92" s="13"/>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s="14"/>
    </row>
    <row r="93" spans="5:52" x14ac:dyDescent="0.25">
      <c r="E93" s="13"/>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s="14"/>
    </row>
    <row r="94" spans="5:52" x14ac:dyDescent="0.25">
      <c r="E94" s="13"/>
      <c r="F94"/>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s="14"/>
    </row>
    <row r="95" spans="5:52" x14ac:dyDescent="0.25">
      <c r="E95" s="13"/>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s="14"/>
    </row>
    <row r="96" spans="5:52" x14ac:dyDescent="0.25">
      <c r="E96" s="13"/>
      <c r="F96"/>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s="14"/>
    </row>
    <row r="97" spans="5:52" x14ac:dyDescent="0.25">
      <c r="E97" s="13"/>
      <c r="F97"/>
      <c r="G97"/>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s="14"/>
    </row>
    <row r="98" spans="5:52" x14ac:dyDescent="0.25">
      <c r="E98" s="13"/>
      <c r="F98"/>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s="14"/>
    </row>
    <row r="99" spans="5:52" x14ac:dyDescent="0.25">
      <c r="E99" s="13"/>
      <c r="F99"/>
      <c r="G99"/>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s="14"/>
    </row>
    <row r="100" spans="5:52" x14ac:dyDescent="0.25">
      <c r="E100" s="13"/>
      <c r="F100"/>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s="14"/>
    </row>
    <row r="101" spans="5:52" x14ac:dyDescent="0.25">
      <c r="E101" s="13"/>
      <c r="F101"/>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s="14"/>
    </row>
    <row r="102" spans="5:52" ht="15.75" thickBot="1" x14ac:dyDescent="0.3">
      <c r="E102" s="15"/>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c r="AT102" s="16"/>
      <c r="AU102" s="16"/>
      <c r="AV102" s="16"/>
      <c r="AW102" s="16"/>
      <c r="AX102" s="16"/>
      <c r="AY102" s="16"/>
      <c r="AZ102" s="17"/>
    </row>
  </sheetData>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1" id="{DF3C72DF-52D5-440E-BE83-E16345A5E25E}">
            <xm:f>A23='Project Information'!$B$11</xm:f>
            <x14:dxf>
              <font>
                <b val="0"/>
                <i/>
                <u val="none"/>
              </font>
              <fill>
                <patternFill>
                  <bgColor theme="4" tint="0.39994506668294322"/>
                </patternFill>
              </fill>
            </x14:dxf>
          </x14:cfRule>
          <xm:sqref>B23:B52</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188FB-EB92-4A38-827B-94B87D879DDC}">
  <sheetPr>
    <tabColor theme="9" tint="0.39997558519241921"/>
  </sheetPr>
  <dimension ref="A1:AZ87"/>
  <sheetViews>
    <sheetView workbookViewId="0">
      <selection activeCell="A24" sqref="A24:A32"/>
    </sheetView>
  </sheetViews>
  <sheetFormatPr defaultColWidth="9.140625" defaultRowHeight="15" x14ac:dyDescent="0.25"/>
  <cols>
    <col min="1" max="1" width="26.140625" style="5" customWidth="1"/>
    <col min="2" max="2" width="40.7109375" style="5" customWidth="1"/>
    <col min="3" max="16384" width="9.140625" style="5"/>
  </cols>
  <sheetData>
    <row r="1" spans="1:52" ht="20.25" thickBot="1" x14ac:dyDescent="0.35">
      <c r="A1" s="93" t="s">
        <v>13</v>
      </c>
    </row>
    <row r="2" spans="1:52" ht="15.75" thickTop="1" x14ac:dyDescent="0.25">
      <c r="A2" s="148" t="s">
        <v>232</v>
      </c>
      <c r="B2" s="148"/>
      <c r="C2" s="148"/>
      <c r="D2" s="148"/>
    </row>
    <row r="3" spans="1:52" x14ac:dyDescent="0.25">
      <c r="A3" s="5" t="s">
        <v>198</v>
      </c>
    </row>
    <row r="4" spans="1:52" x14ac:dyDescent="0.25">
      <c r="A4" s="149" t="s">
        <v>257</v>
      </c>
      <c r="B4" s="148"/>
      <c r="C4" s="148"/>
      <c r="D4" s="148"/>
      <c r="E4" s="148"/>
      <c r="F4" s="148"/>
      <c r="G4" s="148"/>
      <c r="H4" s="148"/>
      <c r="I4" s="148"/>
      <c r="J4" s="148"/>
      <c r="K4" s="148"/>
      <c r="L4" s="148"/>
      <c r="M4" s="148"/>
    </row>
    <row r="5" spans="1:52" x14ac:dyDescent="0.25">
      <c r="A5" s="5" t="s">
        <v>198</v>
      </c>
    </row>
    <row r="6" spans="1:52" ht="15.75" thickBot="1" x14ac:dyDescent="0.3">
      <c r="A6" s="94" t="s">
        <v>245</v>
      </c>
    </row>
    <row r="7" spans="1:52" x14ac:dyDescent="0.25">
      <c r="A7" s="104" t="s">
        <v>4</v>
      </c>
      <c r="B7" s="24" t="s">
        <v>13</v>
      </c>
      <c r="C7" s="5" t="s">
        <v>157</v>
      </c>
      <c r="E7" s="10" t="s">
        <v>159</v>
      </c>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2"/>
    </row>
    <row r="8" spans="1:52" x14ac:dyDescent="0.25">
      <c r="A8" s="6">
        <f>'Project Information'!$B$9</f>
        <v>2028</v>
      </c>
      <c r="B8" s="160">
        <v>0</v>
      </c>
      <c r="E8" s="13"/>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s="14"/>
    </row>
    <row r="9" spans="1:52" x14ac:dyDescent="0.25">
      <c r="A9" s="1">
        <f>IF(A8&lt;'Project Information'!B$11,A8+1,"")</f>
        <v>2029</v>
      </c>
      <c r="B9" s="160">
        <v>0</v>
      </c>
      <c r="E9" s="13"/>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s="14"/>
    </row>
    <row r="10" spans="1:52" x14ac:dyDescent="0.25">
      <c r="A10" s="1">
        <f>IF(A9&lt;'Project Information'!B$11,A9+1,"")</f>
        <v>2030</v>
      </c>
      <c r="B10" s="160">
        <v>0</v>
      </c>
      <c r="E10" s="13"/>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s="14"/>
    </row>
    <row r="11" spans="1:52" x14ac:dyDescent="0.25">
      <c r="A11" s="1">
        <f>IF(A10&lt;'Project Information'!B$11,A10+1,"")</f>
        <v>2031</v>
      </c>
      <c r="B11" s="160">
        <v>0</v>
      </c>
      <c r="E11" s="13"/>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s="14"/>
    </row>
    <row r="12" spans="1:52" x14ac:dyDescent="0.25">
      <c r="A12" s="1">
        <f>IF(A11&lt;'Project Information'!B$11,A11+1,"")</f>
        <v>2032</v>
      </c>
      <c r="B12" s="160">
        <v>0</v>
      </c>
      <c r="E12" s="13"/>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s="14"/>
    </row>
    <row r="13" spans="1:52" x14ac:dyDescent="0.25">
      <c r="A13" s="1">
        <f>IF(A12&lt;'Project Information'!B$11,A12+1,"")</f>
        <v>2033</v>
      </c>
      <c r="B13" s="160">
        <v>0</v>
      </c>
      <c r="E13" s="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s="14"/>
    </row>
    <row r="14" spans="1:52" x14ac:dyDescent="0.25">
      <c r="A14" s="1">
        <f>IF(A13&lt;'Project Information'!B$11,A13+1,"")</f>
        <v>2034</v>
      </c>
      <c r="B14" s="160">
        <v>0</v>
      </c>
      <c r="E14" s="13"/>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s="14"/>
    </row>
    <row r="15" spans="1:52" x14ac:dyDescent="0.25">
      <c r="A15" s="1">
        <f>IF(A14&lt;'Project Information'!B$11,A14+1,"")</f>
        <v>2035</v>
      </c>
      <c r="B15" s="160">
        <v>0</v>
      </c>
      <c r="E15" s="13"/>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s="14"/>
    </row>
    <row r="16" spans="1:52" x14ac:dyDescent="0.25">
      <c r="A16" s="1">
        <f>IF(A15&lt;'Project Information'!B$11,A15+1,"")</f>
        <v>2036</v>
      </c>
      <c r="B16" s="160">
        <v>0</v>
      </c>
      <c r="E16" s="13"/>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s="14"/>
    </row>
    <row r="17" spans="1:52" x14ac:dyDescent="0.25">
      <c r="A17" s="1">
        <f>IF(A16&lt;'Project Information'!B$11,A16+1,"")</f>
        <v>2037</v>
      </c>
      <c r="B17" s="160">
        <v>0</v>
      </c>
      <c r="E17" s="13"/>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s="14"/>
    </row>
    <row r="18" spans="1:52" x14ac:dyDescent="0.25">
      <c r="A18" s="1">
        <f>IF(A17&lt;'Project Information'!B$11,A17+1,"")</f>
        <v>2038</v>
      </c>
      <c r="B18" s="160">
        <v>0</v>
      </c>
      <c r="E18" s="13"/>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s="14"/>
    </row>
    <row r="19" spans="1:52" x14ac:dyDescent="0.25">
      <c r="A19" s="1">
        <f>IF(A18&lt;'Project Information'!B$11,A18+1,"")</f>
        <v>2039</v>
      </c>
      <c r="B19" s="160">
        <v>0</v>
      </c>
      <c r="E19" s="13"/>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s="14"/>
    </row>
    <row r="20" spans="1:52" x14ac:dyDescent="0.25">
      <c r="A20" s="1">
        <f>IF(A19&lt;'Project Information'!B$11,A19+1,"")</f>
        <v>2040</v>
      </c>
      <c r="B20" s="160">
        <v>0</v>
      </c>
      <c r="E20" s="13"/>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s="14"/>
    </row>
    <row r="21" spans="1:52" x14ac:dyDescent="0.25">
      <c r="A21" s="1">
        <f>IF(A20&lt;'Project Information'!B$11,A20+1,"")</f>
        <v>2041</v>
      </c>
      <c r="B21" s="160">
        <v>0</v>
      </c>
      <c r="E21" s="13"/>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s="14"/>
    </row>
    <row r="22" spans="1:52" x14ac:dyDescent="0.25">
      <c r="A22" s="1">
        <f>IF(A21&lt;'Project Information'!B$11,A21+1,"")</f>
        <v>2042</v>
      </c>
      <c r="B22" s="160">
        <v>0</v>
      </c>
      <c r="E22" s="13"/>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s="14"/>
    </row>
    <row r="23" spans="1:52" x14ac:dyDescent="0.25">
      <c r="A23" s="1">
        <f>IF(A22&lt;'Project Information'!B$11,A22+1,"")</f>
        <v>2043</v>
      </c>
      <c r="B23" s="160">
        <v>0</v>
      </c>
      <c r="E23" s="1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s="14"/>
    </row>
    <row r="24" spans="1:52" x14ac:dyDescent="0.25">
      <c r="A24" s="1">
        <f>IF(A23&lt;'Project Information'!B$11,A23+1,"")</f>
        <v>2044</v>
      </c>
      <c r="B24" s="160">
        <v>0</v>
      </c>
      <c r="E24" s="13"/>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s="14"/>
    </row>
    <row r="25" spans="1:52" x14ac:dyDescent="0.25">
      <c r="A25" s="1">
        <f>IF(A24&lt;'Project Information'!B$11,A24+1,"")</f>
        <v>2045</v>
      </c>
      <c r="B25" s="160">
        <v>0</v>
      </c>
      <c r="E25" s="13"/>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s="14"/>
    </row>
    <row r="26" spans="1:52" x14ac:dyDescent="0.25">
      <c r="A26" s="1">
        <f>IF(A25&lt;'Project Information'!B$11,A25+1,"")</f>
        <v>2046</v>
      </c>
      <c r="B26" s="160">
        <v>0</v>
      </c>
      <c r="E26" s="13"/>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s="14"/>
    </row>
    <row r="27" spans="1:52" x14ac:dyDescent="0.25">
      <c r="A27" s="1">
        <f>IF(A26&lt;'Project Information'!B$11,A26+1,"")</f>
        <v>2047</v>
      </c>
      <c r="B27" s="160">
        <v>0</v>
      </c>
      <c r="E27" s="13"/>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s="14"/>
    </row>
    <row r="28" spans="1:52" x14ac:dyDescent="0.25">
      <c r="A28" s="1">
        <f>IF(A27&lt;'Project Information'!B$11,A27+1,"")</f>
        <v>2048</v>
      </c>
      <c r="B28" s="160">
        <v>0</v>
      </c>
      <c r="E28" s="13"/>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s="14"/>
    </row>
    <row r="29" spans="1:52" x14ac:dyDescent="0.25">
      <c r="A29" s="1">
        <f>IF(A28&lt;'Project Information'!B$11,A28+1,"")</f>
        <v>2049</v>
      </c>
      <c r="B29" s="160">
        <v>0</v>
      </c>
      <c r="E29" s="13"/>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s="14"/>
    </row>
    <row r="30" spans="1:52" x14ac:dyDescent="0.25">
      <c r="A30" s="1">
        <f>IF(A29&lt;'Project Information'!B$11,A29+1,"")</f>
        <v>2050</v>
      </c>
      <c r="B30" s="160">
        <v>0</v>
      </c>
      <c r="E30" s="13"/>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s="14"/>
    </row>
    <row r="31" spans="1:52" x14ac:dyDescent="0.25">
      <c r="A31" s="1">
        <f>IF(A30&lt;'Project Information'!B$11,A30+1,"")</f>
        <v>2051</v>
      </c>
      <c r="B31" s="160">
        <v>0</v>
      </c>
      <c r="E31" s="13"/>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s="14"/>
    </row>
    <row r="32" spans="1:52" x14ac:dyDescent="0.25">
      <c r="A32" s="1">
        <f>IF(A31&lt;'Project Information'!B$11,A31+1,"")</f>
        <v>2052</v>
      </c>
      <c r="B32" s="160">
        <v>0</v>
      </c>
      <c r="E32" s="13"/>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s="14"/>
    </row>
    <row r="33" spans="1:52" x14ac:dyDescent="0.25">
      <c r="A33" s="1" t="str">
        <f>IF(A32&lt;'Project Information'!B$11,A32+1,"")</f>
        <v/>
      </c>
      <c r="B33" s="160">
        <v>0</v>
      </c>
      <c r="E33" s="1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s="14"/>
    </row>
    <row r="34" spans="1:52" x14ac:dyDescent="0.25">
      <c r="A34" s="1" t="str">
        <f>IF(A33&lt;'Project Information'!B$11,A33+1,"")</f>
        <v/>
      </c>
      <c r="B34" s="160">
        <v>0</v>
      </c>
      <c r="E34" s="13"/>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s="14"/>
    </row>
    <row r="35" spans="1:52" x14ac:dyDescent="0.25">
      <c r="A35" s="1" t="str">
        <f>IF(A34&lt;'Project Information'!B$11,A34+1,"")</f>
        <v/>
      </c>
      <c r="B35" s="160">
        <v>0</v>
      </c>
      <c r="E35" s="13"/>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s="14"/>
    </row>
    <row r="36" spans="1:52" x14ac:dyDescent="0.25">
      <c r="A36" s="1" t="str">
        <f>IF(A35&lt;'Project Information'!B$11,A35+1,"")</f>
        <v/>
      </c>
      <c r="B36" s="160">
        <v>0</v>
      </c>
      <c r="E36" s="13"/>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s="14"/>
    </row>
    <row r="37" spans="1:52" x14ac:dyDescent="0.25">
      <c r="A37" s="2" t="str">
        <f>IF(A36&lt;'Project Information'!B$11,A36+1,"")</f>
        <v/>
      </c>
      <c r="B37" s="116">
        <v>0</v>
      </c>
      <c r="E37" s="13"/>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s="14"/>
    </row>
    <row r="38" spans="1:52" x14ac:dyDescent="0.25">
      <c r="E38" s="13"/>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s="14"/>
    </row>
    <row r="39" spans="1:52" x14ac:dyDescent="0.25">
      <c r="E39" s="13"/>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s="14"/>
    </row>
    <row r="40" spans="1:52" x14ac:dyDescent="0.25">
      <c r="E40" s="13"/>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s="14"/>
    </row>
    <row r="41" spans="1:52" x14ac:dyDescent="0.25">
      <c r="E41" s="13"/>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s="14"/>
    </row>
    <row r="42" spans="1:52" x14ac:dyDescent="0.25">
      <c r="E42" s="13"/>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s="14"/>
    </row>
    <row r="43" spans="1:52" x14ac:dyDescent="0.25">
      <c r="E43" s="1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s="14"/>
    </row>
    <row r="44" spans="1:52" x14ac:dyDescent="0.25">
      <c r="E44" s="13"/>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s="14"/>
    </row>
    <row r="45" spans="1:52" x14ac:dyDescent="0.25">
      <c r="E45" s="13"/>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s="14"/>
    </row>
    <row r="46" spans="1:52" x14ac:dyDescent="0.25">
      <c r="E46" s="13"/>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s="14"/>
    </row>
    <row r="47" spans="1:52" x14ac:dyDescent="0.25">
      <c r="E47" s="13"/>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s="14"/>
    </row>
    <row r="48" spans="1:52" x14ac:dyDescent="0.25">
      <c r="E48" s="13"/>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s="14"/>
    </row>
    <row r="49" spans="5:52" x14ac:dyDescent="0.25">
      <c r="E49" s="13"/>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s="14"/>
    </row>
    <row r="50" spans="5:52" x14ac:dyDescent="0.25">
      <c r="E50" s="13"/>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s="14"/>
    </row>
    <row r="51" spans="5:52" x14ac:dyDescent="0.25">
      <c r="E51" s="13"/>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s="14"/>
    </row>
    <row r="52" spans="5:52" x14ac:dyDescent="0.25">
      <c r="E52" s="13"/>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s="14"/>
    </row>
    <row r="53" spans="5:52" x14ac:dyDescent="0.25">
      <c r="E53" s="1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s="14"/>
    </row>
    <row r="54" spans="5:52" x14ac:dyDescent="0.25">
      <c r="E54" s="13"/>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s="14"/>
    </row>
    <row r="55" spans="5:52" x14ac:dyDescent="0.25">
      <c r="E55" s="13"/>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s="14"/>
    </row>
    <row r="56" spans="5:52" x14ac:dyDescent="0.25">
      <c r="E56" s="13"/>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s="14"/>
    </row>
    <row r="57" spans="5:52" x14ac:dyDescent="0.25">
      <c r="E57" s="13"/>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s="14"/>
    </row>
    <row r="58" spans="5:52" x14ac:dyDescent="0.25">
      <c r="E58" s="13"/>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s="14"/>
    </row>
    <row r="59" spans="5:52" x14ac:dyDescent="0.25">
      <c r="E59" s="13"/>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s="14"/>
    </row>
    <row r="60" spans="5:52" x14ac:dyDescent="0.25">
      <c r="E60" s="13"/>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s="14"/>
    </row>
    <row r="61" spans="5:52" x14ac:dyDescent="0.25">
      <c r="E61" s="13"/>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s="14"/>
    </row>
    <row r="62" spans="5:52" x14ac:dyDescent="0.25">
      <c r="E62" s="13"/>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s="14"/>
    </row>
    <row r="63" spans="5:52" x14ac:dyDescent="0.25">
      <c r="E63" s="1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s="14"/>
    </row>
    <row r="64" spans="5:52" x14ac:dyDescent="0.25">
      <c r="E64" s="13"/>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s="14"/>
    </row>
    <row r="65" spans="5:52" x14ac:dyDescent="0.25">
      <c r="E65" s="13"/>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s="14"/>
    </row>
    <row r="66" spans="5:52" x14ac:dyDescent="0.25">
      <c r="E66" s="13"/>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s="14"/>
    </row>
    <row r="67" spans="5:52" x14ac:dyDescent="0.25">
      <c r="E67" s="13"/>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s="14"/>
    </row>
    <row r="68" spans="5:52" x14ac:dyDescent="0.25">
      <c r="E68" s="13"/>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s="14"/>
    </row>
    <row r="69" spans="5:52" x14ac:dyDescent="0.25">
      <c r="E69" s="13"/>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s="14"/>
    </row>
    <row r="70" spans="5:52" x14ac:dyDescent="0.25">
      <c r="E70" s="13"/>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s="14"/>
    </row>
    <row r="71" spans="5:52" x14ac:dyDescent="0.25">
      <c r="E71" s="13"/>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s="14"/>
    </row>
    <row r="72" spans="5:52" x14ac:dyDescent="0.25">
      <c r="E72" s="13"/>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s="14"/>
    </row>
    <row r="73" spans="5:52" x14ac:dyDescent="0.25">
      <c r="E73" s="1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s="14"/>
    </row>
    <row r="74" spans="5:52" x14ac:dyDescent="0.25">
      <c r="E74" s="13"/>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s="14"/>
    </row>
    <row r="75" spans="5:52" x14ac:dyDescent="0.25">
      <c r="E75" s="13"/>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s="14"/>
    </row>
    <row r="76" spans="5:52" x14ac:dyDescent="0.25">
      <c r="E76" s="13"/>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s="14"/>
    </row>
    <row r="77" spans="5:52" x14ac:dyDescent="0.25">
      <c r="E77" s="13"/>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s="14"/>
    </row>
    <row r="78" spans="5:52" x14ac:dyDescent="0.25">
      <c r="E78" s="13"/>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s="14"/>
    </row>
    <row r="79" spans="5:52" x14ac:dyDescent="0.25">
      <c r="E79" s="13"/>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s="14"/>
    </row>
    <row r="80" spans="5:52" x14ac:dyDescent="0.25">
      <c r="E80" s="13"/>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s="14"/>
    </row>
    <row r="81" spans="5:52" x14ac:dyDescent="0.25">
      <c r="E81" s="13"/>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s="14"/>
    </row>
    <row r="82" spans="5:52" x14ac:dyDescent="0.25">
      <c r="E82" s="13"/>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s="14"/>
    </row>
    <row r="83" spans="5:52" x14ac:dyDescent="0.25">
      <c r="E83" s="1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s="14"/>
    </row>
    <row r="84" spans="5:52" x14ac:dyDescent="0.25">
      <c r="E84" s="13"/>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s="14"/>
    </row>
    <row r="85" spans="5:52" x14ac:dyDescent="0.25">
      <c r="E85" s="13"/>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s="14"/>
    </row>
    <row r="86" spans="5:52" x14ac:dyDescent="0.25">
      <c r="E86" s="13"/>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s="14"/>
    </row>
    <row r="87" spans="5:52" ht="15.75" thickBot="1" x14ac:dyDescent="0.3">
      <c r="E87" s="15"/>
      <c r="F87" s="16"/>
      <c r="G87" s="16"/>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6"/>
      <c r="AY87" s="16"/>
      <c r="AZ87" s="17"/>
    </row>
  </sheetData>
  <conditionalFormatting sqref="B8:B37">
    <cfRule type="expression" dxfId="4" priority="1">
      <formula>A8=""</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2758C-DD7B-441C-AA2D-42F280A3896C}">
  <sheetPr>
    <tabColor theme="9" tint="0.39997558519241921"/>
  </sheetPr>
  <dimension ref="A1:AZ87"/>
  <sheetViews>
    <sheetView workbookViewId="0">
      <selection activeCell="A24" sqref="A24:A32"/>
    </sheetView>
  </sheetViews>
  <sheetFormatPr defaultColWidth="9.140625" defaultRowHeight="15" x14ac:dyDescent="0.25"/>
  <cols>
    <col min="1" max="1" width="32.85546875" style="5" customWidth="1"/>
    <col min="2" max="2" width="40.7109375" style="5" customWidth="1"/>
    <col min="3" max="16384" width="9.140625" style="5"/>
  </cols>
  <sheetData>
    <row r="1" spans="1:52" ht="20.25" thickBot="1" x14ac:dyDescent="0.35">
      <c r="A1" s="93" t="s">
        <v>14</v>
      </c>
    </row>
    <row r="2" spans="1:52" ht="15.75" thickTop="1" x14ac:dyDescent="0.25">
      <c r="A2" s="148" t="s">
        <v>232</v>
      </c>
      <c r="B2" s="148"/>
      <c r="C2" s="148"/>
    </row>
    <row r="3" spans="1:52" x14ac:dyDescent="0.25">
      <c r="A3" s="5" t="s">
        <v>198</v>
      </c>
    </row>
    <row r="4" spans="1:52" x14ac:dyDescent="0.25">
      <c r="A4" s="149" t="s">
        <v>257</v>
      </c>
      <c r="B4" s="148"/>
      <c r="C4" s="148"/>
      <c r="D4" s="148"/>
      <c r="E4" s="148"/>
      <c r="F4" s="148"/>
      <c r="G4" s="148"/>
      <c r="H4" s="148"/>
      <c r="I4" s="148"/>
      <c r="J4" s="148"/>
      <c r="K4" s="148"/>
      <c r="L4" s="148"/>
    </row>
    <row r="5" spans="1:52" x14ac:dyDescent="0.25">
      <c r="A5" s="5" t="s">
        <v>198</v>
      </c>
    </row>
    <row r="6" spans="1:52" ht="15.75" thickBot="1" x14ac:dyDescent="0.3">
      <c r="A6" s="94" t="s">
        <v>245</v>
      </c>
    </row>
    <row r="7" spans="1:52" x14ac:dyDescent="0.25">
      <c r="A7" s="104" t="s">
        <v>4</v>
      </c>
      <c r="B7" s="24" t="s">
        <v>14</v>
      </c>
      <c r="C7" s="5" t="s">
        <v>157</v>
      </c>
      <c r="E7" s="10" t="s">
        <v>159</v>
      </c>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2"/>
    </row>
    <row r="8" spans="1:52" x14ac:dyDescent="0.25">
      <c r="A8" s="6">
        <f>'Project Information'!$B$9</f>
        <v>2028</v>
      </c>
      <c r="B8" s="160">
        <v>0</v>
      </c>
      <c r="E8" s="13"/>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s="14"/>
    </row>
    <row r="9" spans="1:52" x14ac:dyDescent="0.25">
      <c r="A9" s="1">
        <f>IF(A8&lt;'Project Information'!B$11,A8+1,"")</f>
        <v>2029</v>
      </c>
      <c r="B9" s="160">
        <v>0</v>
      </c>
      <c r="E9" s="13"/>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s="14"/>
    </row>
    <row r="10" spans="1:52" x14ac:dyDescent="0.25">
      <c r="A10" s="1">
        <f>IF(A9&lt;'Project Information'!B$11,A9+1,"")</f>
        <v>2030</v>
      </c>
      <c r="B10" s="160">
        <v>0</v>
      </c>
      <c r="E10" s="13"/>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s="14"/>
    </row>
    <row r="11" spans="1:52" x14ac:dyDescent="0.25">
      <c r="A11" s="1">
        <f>IF(A10&lt;'Project Information'!B$11,A10+1,"")</f>
        <v>2031</v>
      </c>
      <c r="B11" s="160">
        <v>0</v>
      </c>
      <c r="E11" s="13"/>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s="14"/>
    </row>
    <row r="12" spans="1:52" x14ac:dyDescent="0.25">
      <c r="A12" s="1">
        <f>IF(A11&lt;'Project Information'!B$11,A11+1,"")</f>
        <v>2032</v>
      </c>
      <c r="B12" s="160">
        <v>0</v>
      </c>
      <c r="E12" s="13"/>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s="14"/>
    </row>
    <row r="13" spans="1:52" x14ac:dyDescent="0.25">
      <c r="A13" s="1">
        <f>IF(A12&lt;'Project Information'!B$11,A12+1,"")</f>
        <v>2033</v>
      </c>
      <c r="B13" s="160">
        <v>0</v>
      </c>
      <c r="E13" s="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s="14"/>
    </row>
    <row r="14" spans="1:52" x14ac:dyDescent="0.25">
      <c r="A14" s="1">
        <f>IF(A13&lt;'Project Information'!B$11,A13+1,"")</f>
        <v>2034</v>
      </c>
      <c r="B14" s="160">
        <v>0</v>
      </c>
      <c r="E14" s="13"/>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s="14"/>
    </row>
    <row r="15" spans="1:52" x14ac:dyDescent="0.25">
      <c r="A15" s="1">
        <f>IF(A14&lt;'Project Information'!B$11,A14+1,"")</f>
        <v>2035</v>
      </c>
      <c r="B15" s="160">
        <v>0</v>
      </c>
      <c r="E15" s="13"/>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s="14"/>
    </row>
    <row r="16" spans="1:52" x14ac:dyDescent="0.25">
      <c r="A16" s="1">
        <f>IF(A15&lt;'Project Information'!B$11,A15+1,"")</f>
        <v>2036</v>
      </c>
      <c r="B16" s="160">
        <v>0</v>
      </c>
      <c r="E16" s="13"/>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s="14"/>
    </row>
    <row r="17" spans="1:52" x14ac:dyDescent="0.25">
      <c r="A17" s="1">
        <f>IF(A16&lt;'Project Information'!B$11,A16+1,"")</f>
        <v>2037</v>
      </c>
      <c r="B17" s="160">
        <v>0</v>
      </c>
      <c r="E17" s="13"/>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s="14"/>
    </row>
    <row r="18" spans="1:52" x14ac:dyDescent="0.25">
      <c r="A18" s="1">
        <f>IF(A17&lt;'Project Information'!B$11,A17+1,"")</f>
        <v>2038</v>
      </c>
      <c r="B18" s="160">
        <v>0</v>
      </c>
      <c r="E18" s="13"/>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s="14"/>
    </row>
    <row r="19" spans="1:52" x14ac:dyDescent="0.25">
      <c r="A19" s="1">
        <f>IF(A18&lt;'Project Information'!B$11,A18+1,"")</f>
        <v>2039</v>
      </c>
      <c r="B19" s="160">
        <v>0</v>
      </c>
      <c r="E19" s="13"/>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s="14"/>
    </row>
    <row r="20" spans="1:52" x14ac:dyDescent="0.25">
      <c r="A20" s="1">
        <f>IF(A19&lt;'Project Information'!B$11,A19+1,"")</f>
        <v>2040</v>
      </c>
      <c r="B20" s="160">
        <v>0</v>
      </c>
      <c r="E20" s="13"/>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s="14"/>
    </row>
    <row r="21" spans="1:52" x14ac:dyDescent="0.25">
      <c r="A21" s="1">
        <f>IF(A20&lt;'Project Information'!B$11,A20+1,"")</f>
        <v>2041</v>
      </c>
      <c r="B21" s="160">
        <v>0</v>
      </c>
      <c r="E21" s="13"/>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s="14"/>
    </row>
    <row r="22" spans="1:52" x14ac:dyDescent="0.25">
      <c r="A22" s="1">
        <f>IF(A21&lt;'Project Information'!B$11,A21+1,"")</f>
        <v>2042</v>
      </c>
      <c r="B22" s="160">
        <v>0</v>
      </c>
      <c r="E22" s="13"/>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s="14"/>
    </row>
    <row r="23" spans="1:52" x14ac:dyDescent="0.25">
      <c r="A23" s="1">
        <f>IF(A22&lt;'Project Information'!B$11,A22+1,"")</f>
        <v>2043</v>
      </c>
      <c r="B23" s="160">
        <v>0</v>
      </c>
      <c r="E23" s="1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s="14"/>
    </row>
    <row r="24" spans="1:52" x14ac:dyDescent="0.25">
      <c r="A24" s="1">
        <f>IF(A23&lt;'Project Information'!B$11,A23+1,"")</f>
        <v>2044</v>
      </c>
      <c r="B24" s="160">
        <v>0</v>
      </c>
      <c r="E24" s="13"/>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s="14"/>
    </row>
    <row r="25" spans="1:52" x14ac:dyDescent="0.25">
      <c r="A25" s="1">
        <f>IF(A24&lt;'Project Information'!B$11,A24+1,"")</f>
        <v>2045</v>
      </c>
      <c r="B25" s="160">
        <v>0</v>
      </c>
      <c r="E25" s="13"/>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s="14"/>
    </row>
    <row r="26" spans="1:52" x14ac:dyDescent="0.25">
      <c r="A26" s="1">
        <f>IF(A25&lt;'Project Information'!B$11,A25+1,"")</f>
        <v>2046</v>
      </c>
      <c r="B26" s="160">
        <v>0</v>
      </c>
      <c r="E26" s="13"/>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s="14"/>
    </row>
    <row r="27" spans="1:52" x14ac:dyDescent="0.25">
      <c r="A27" s="1">
        <f>IF(A26&lt;'Project Information'!B$11,A26+1,"")</f>
        <v>2047</v>
      </c>
      <c r="B27" s="160">
        <v>0</v>
      </c>
      <c r="E27" s="13"/>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s="14"/>
    </row>
    <row r="28" spans="1:52" x14ac:dyDescent="0.25">
      <c r="A28" s="1">
        <f>IF(A27&lt;'Project Information'!B$11,A27+1,"")</f>
        <v>2048</v>
      </c>
      <c r="B28" s="160">
        <v>0</v>
      </c>
      <c r="E28" s="13"/>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s="14"/>
    </row>
    <row r="29" spans="1:52" x14ac:dyDescent="0.25">
      <c r="A29" s="1">
        <f>IF(A28&lt;'Project Information'!B$11,A28+1,"")</f>
        <v>2049</v>
      </c>
      <c r="B29" s="160">
        <v>0</v>
      </c>
      <c r="E29" s="13"/>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s="14"/>
    </row>
    <row r="30" spans="1:52" x14ac:dyDescent="0.25">
      <c r="A30" s="1">
        <f>IF(A29&lt;'Project Information'!B$11,A29+1,"")</f>
        <v>2050</v>
      </c>
      <c r="B30" s="160">
        <v>0</v>
      </c>
      <c r="E30" s="13"/>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s="14"/>
    </row>
    <row r="31" spans="1:52" x14ac:dyDescent="0.25">
      <c r="A31" s="1">
        <f>IF(A30&lt;'Project Information'!B$11,A30+1,"")</f>
        <v>2051</v>
      </c>
      <c r="B31" s="160">
        <v>0</v>
      </c>
      <c r="E31" s="13"/>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s="14"/>
    </row>
    <row r="32" spans="1:52" x14ac:dyDescent="0.25">
      <c r="A32" s="1">
        <f>IF(A31&lt;'Project Information'!B$11,A31+1,"")</f>
        <v>2052</v>
      </c>
      <c r="B32" s="160">
        <v>0</v>
      </c>
      <c r="E32" s="13"/>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s="14"/>
    </row>
    <row r="33" spans="1:52" x14ac:dyDescent="0.25">
      <c r="A33" s="1" t="str">
        <f>IF(A32&lt;'Project Information'!B$11,A32+1,"")</f>
        <v/>
      </c>
      <c r="B33" s="160">
        <v>0</v>
      </c>
      <c r="E33" s="1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s="14"/>
    </row>
    <row r="34" spans="1:52" x14ac:dyDescent="0.25">
      <c r="A34" s="1" t="str">
        <f>IF(A33&lt;'Project Information'!B$11,A33+1,"")</f>
        <v/>
      </c>
      <c r="B34" s="160">
        <v>0</v>
      </c>
      <c r="E34" s="13"/>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s="14"/>
    </row>
    <row r="35" spans="1:52" x14ac:dyDescent="0.25">
      <c r="A35" s="1" t="str">
        <f>IF(A34&lt;'Project Information'!B$11,A34+1,"")</f>
        <v/>
      </c>
      <c r="B35" s="160">
        <v>0</v>
      </c>
      <c r="E35" s="13"/>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s="14"/>
    </row>
    <row r="36" spans="1:52" x14ac:dyDescent="0.25">
      <c r="A36" s="1" t="str">
        <f>IF(A35&lt;'Project Information'!B$11,A35+1,"")</f>
        <v/>
      </c>
      <c r="B36" s="160">
        <v>0</v>
      </c>
      <c r="E36" s="13"/>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s="14"/>
    </row>
    <row r="37" spans="1:52" x14ac:dyDescent="0.25">
      <c r="A37" s="2" t="str">
        <f>IF(A36&lt;'Project Information'!B$11,A36+1,"")</f>
        <v/>
      </c>
      <c r="B37" s="116">
        <v>0</v>
      </c>
      <c r="E37" s="13"/>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s="14"/>
    </row>
    <row r="38" spans="1:52" x14ac:dyDescent="0.25">
      <c r="E38" s="13"/>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s="14"/>
    </row>
    <row r="39" spans="1:52" x14ac:dyDescent="0.25">
      <c r="E39" s="13"/>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s="14"/>
    </row>
    <row r="40" spans="1:52" x14ac:dyDescent="0.25">
      <c r="E40" s="13"/>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s="14"/>
    </row>
    <row r="41" spans="1:52" x14ac:dyDescent="0.25">
      <c r="E41" s="13"/>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s="14"/>
    </row>
    <row r="42" spans="1:52" x14ac:dyDescent="0.25">
      <c r="E42" s="13"/>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s="14"/>
    </row>
    <row r="43" spans="1:52" x14ac:dyDescent="0.25">
      <c r="E43" s="1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s="14"/>
    </row>
    <row r="44" spans="1:52" x14ac:dyDescent="0.25">
      <c r="E44" s="13"/>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s="14"/>
    </row>
    <row r="45" spans="1:52" x14ac:dyDescent="0.25">
      <c r="E45" s="13"/>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s="14"/>
    </row>
    <row r="46" spans="1:52" x14ac:dyDescent="0.25">
      <c r="E46" s="13"/>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s="14"/>
    </row>
    <row r="47" spans="1:52" x14ac:dyDescent="0.25">
      <c r="E47" s="13"/>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s="14"/>
    </row>
    <row r="48" spans="1:52" x14ac:dyDescent="0.25">
      <c r="E48" s="13"/>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s="14"/>
    </row>
    <row r="49" spans="5:52" x14ac:dyDescent="0.25">
      <c r="E49" s="13"/>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s="14"/>
    </row>
    <row r="50" spans="5:52" x14ac:dyDescent="0.25">
      <c r="E50" s="13"/>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s="14"/>
    </row>
    <row r="51" spans="5:52" x14ac:dyDescent="0.25">
      <c r="E51" s="13"/>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s="14"/>
    </row>
    <row r="52" spans="5:52" x14ac:dyDescent="0.25">
      <c r="E52" s="13"/>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s="14"/>
    </row>
    <row r="53" spans="5:52" x14ac:dyDescent="0.25">
      <c r="E53" s="1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s="14"/>
    </row>
    <row r="54" spans="5:52" x14ac:dyDescent="0.25">
      <c r="E54" s="13"/>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s="14"/>
    </row>
    <row r="55" spans="5:52" x14ac:dyDescent="0.25">
      <c r="E55" s="13"/>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s="14"/>
    </row>
    <row r="56" spans="5:52" x14ac:dyDescent="0.25">
      <c r="E56" s="13"/>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s="14"/>
    </row>
    <row r="57" spans="5:52" x14ac:dyDescent="0.25">
      <c r="E57" s="13"/>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s="14"/>
    </row>
    <row r="58" spans="5:52" x14ac:dyDescent="0.25">
      <c r="E58" s="13"/>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s="14"/>
    </row>
    <row r="59" spans="5:52" x14ac:dyDescent="0.25">
      <c r="E59" s="13"/>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s="14"/>
    </row>
    <row r="60" spans="5:52" x14ac:dyDescent="0.25">
      <c r="E60" s="13"/>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s="14"/>
    </row>
    <row r="61" spans="5:52" x14ac:dyDescent="0.25">
      <c r="E61" s="13"/>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s="14"/>
    </row>
    <row r="62" spans="5:52" x14ac:dyDescent="0.25">
      <c r="E62" s="13"/>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s="14"/>
    </row>
    <row r="63" spans="5:52" x14ac:dyDescent="0.25">
      <c r="E63" s="1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s="14"/>
    </row>
    <row r="64" spans="5:52" x14ac:dyDescent="0.25">
      <c r="E64" s="13"/>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s="14"/>
    </row>
    <row r="65" spans="5:52" x14ac:dyDescent="0.25">
      <c r="E65" s="13"/>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s="14"/>
    </row>
    <row r="66" spans="5:52" x14ac:dyDescent="0.25">
      <c r="E66" s="13"/>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s="14"/>
    </row>
    <row r="67" spans="5:52" x14ac:dyDescent="0.25">
      <c r="E67" s="13"/>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s="14"/>
    </row>
    <row r="68" spans="5:52" x14ac:dyDescent="0.25">
      <c r="E68" s="13"/>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s="14"/>
    </row>
    <row r="69" spans="5:52" x14ac:dyDescent="0.25">
      <c r="E69" s="13"/>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s="14"/>
    </row>
    <row r="70" spans="5:52" x14ac:dyDescent="0.25">
      <c r="E70" s="13"/>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s="14"/>
    </row>
    <row r="71" spans="5:52" x14ac:dyDescent="0.25">
      <c r="E71" s="13"/>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s="14"/>
    </row>
    <row r="72" spans="5:52" x14ac:dyDescent="0.25">
      <c r="E72" s="13"/>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s="14"/>
    </row>
    <row r="73" spans="5:52" x14ac:dyDescent="0.25">
      <c r="E73" s="1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s="14"/>
    </row>
    <row r="74" spans="5:52" x14ac:dyDescent="0.25">
      <c r="E74" s="13"/>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s="14"/>
    </row>
    <row r="75" spans="5:52" x14ac:dyDescent="0.25">
      <c r="E75" s="13"/>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s="14"/>
    </row>
    <row r="76" spans="5:52" x14ac:dyDescent="0.25">
      <c r="E76" s="13"/>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s="14"/>
    </row>
    <row r="77" spans="5:52" x14ac:dyDescent="0.25">
      <c r="E77" s="13"/>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s="14"/>
    </row>
    <row r="78" spans="5:52" x14ac:dyDescent="0.25">
      <c r="E78" s="13"/>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s="14"/>
    </row>
    <row r="79" spans="5:52" x14ac:dyDescent="0.25">
      <c r="E79" s="13"/>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s="14"/>
    </row>
    <row r="80" spans="5:52" x14ac:dyDescent="0.25">
      <c r="E80" s="13"/>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s="14"/>
    </row>
    <row r="81" spans="5:52" x14ac:dyDescent="0.25">
      <c r="E81" s="13"/>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s="14"/>
    </row>
    <row r="82" spans="5:52" x14ac:dyDescent="0.25">
      <c r="E82" s="13"/>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s="14"/>
    </row>
    <row r="83" spans="5:52" x14ac:dyDescent="0.25">
      <c r="E83" s="1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s="14"/>
    </row>
    <row r="84" spans="5:52" x14ac:dyDescent="0.25">
      <c r="E84" s="13"/>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s="14"/>
    </row>
    <row r="85" spans="5:52" x14ac:dyDescent="0.25">
      <c r="E85" s="13"/>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s="14"/>
    </row>
    <row r="86" spans="5:52" x14ac:dyDescent="0.25">
      <c r="E86" s="13"/>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s="14"/>
    </row>
    <row r="87" spans="5:52" ht="15.75" thickBot="1" x14ac:dyDescent="0.3">
      <c r="E87" s="15"/>
      <c r="F87" s="16"/>
      <c r="G87" s="16"/>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6"/>
      <c r="AY87" s="16"/>
      <c r="AZ87" s="17"/>
    </row>
  </sheetData>
  <conditionalFormatting sqref="B8:B37">
    <cfRule type="expression" dxfId="3" priority="1">
      <formula>A8=""</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E6E43-6B22-4737-8E2E-57A059E7E54E}">
  <sheetPr>
    <tabColor theme="9" tint="0.39997558519241921"/>
  </sheetPr>
  <dimension ref="A1:AZ87"/>
  <sheetViews>
    <sheetView workbookViewId="0">
      <selection activeCell="A24" sqref="A24:A32"/>
    </sheetView>
  </sheetViews>
  <sheetFormatPr defaultColWidth="9.140625" defaultRowHeight="15" x14ac:dyDescent="0.25"/>
  <cols>
    <col min="1" max="1" width="28" style="5" customWidth="1"/>
    <col min="2" max="2" width="40.7109375" style="5" customWidth="1"/>
    <col min="3" max="16384" width="9.140625" style="5"/>
  </cols>
  <sheetData>
    <row r="1" spans="1:52" ht="20.25" thickBot="1" x14ac:dyDescent="0.35">
      <c r="A1" s="93" t="s">
        <v>15</v>
      </c>
    </row>
    <row r="2" spans="1:52" ht="15.75" thickTop="1" x14ac:dyDescent="0.25">
      <c r="A2" s="148" t="s">
        <v>232</v>
      </c>
      <c r="B2" s="148"/>
      <c r="C2" s="148"/>
    </row>
    <row r="3" spans="1:52" x14ac:dyDescent="0.25">
      <c r="A3" s="5" t="s">
        <v>198</v>
      </c>
    </row>
    <row r="4" spans="1:52" x14ac:dyDescent="0.25">
      <c r="A4" s="149" t="s">
        <v>257</v>
      </c>
      <c r="B4" s="148"/>
      <c r="C4" s="148"/>
      <c r="D4" s="148"/>
      <c r="E4" s="148"/>
      <c r="F4" s="148"/>
      <c r="G4" s="148"/>
      <c r="H4" s="148"/>
      <c r="I4" s="148"/>
      <c r="J4" s="148"/>
      <c r="K4" s="148"/>
      <c r="L4" s="148"/>
    </row>
    <row r="5" spans="1:52" x14ac:dyDescent="0.25">
      <c r="A5" s="5" t="s">
        <v>198</v>
      </c>
    </row>
    <row r="6" spans="1:52" ht="15.75" thickBot="1" x14ac:dyDescent="0.3">
      <c r="A6" s="94" t="s">
        <v>245</v>
      </c>
    </row>
    <row r="7" spans="1:52" x14ac:dyDescent="0.25">
      <c r="A7" s="104" t="s">
        <v>4</v>
      </c>
      <c r="B7" s="24" t="s">
        <v>15</v>
      </c>
      <c r="C7" s="5" t="s">
        <v>157</v>
      </c>
      <c r="E7" s="10" t="s">
        <v>159</v>
      </c>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2"/>
    </row>
    <row r="8" spans="1:52" x14ac:dyDescent="0.25">
      <c r="A8" s="6">
        <f>'Project Information'!$B$9</f>
        <v>2028</v>
      </c>
      <c r="B8" s="160">
        <v>0</v>
      </c>
      <c r="E8" s="13"/>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s="14"/>
    </row>
    <row r="9" spans="1:52" x14ac:dyDescent="0.25">
      <c r="A9" s="1">
        <f>IF(A8&lt;'Project Information'!B$11,A8+1,"")</f>
        <v>2029</v>
      </c>
      <c r="B9" s="160">
        <v>0</v>
      </c>
      <c r="E9" s="13"/>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s="14"/>
    </row>
    <row r="10" spans="1:52" x14ac:dyDescent="0.25">
      <c r="A10" s="1">
        <f>IF(A9&lt;'Project Information'!B$11,A9+1,"")</f>
        <v>2030</v>
      </c>
      <c r="B10" s="160">
        <v>0</v>
      </c>
      <c r="E10" s="13"/>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s="14"/>
    </row>
    <row r="11" spans="1:52" x14ac:dyDescent="0.25">
      <c r="A11" s="1">
        <f>IF(A10&lt;'Project Information'!B$11,A10+1,"")</f>
        <v>2031</v>
      </c>
      <c r="B11" s="160">
        <v>0</v>
      </c>
      <c r="E11" s="13"/>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s="14"/>
    </row>
    <row r="12" spans="1:52" x14ac:dyDescent="0.25">
      <c r="A12" s="1">
        <f>IF(A11&lt;'Project Information'!B$11,A11+1,"")</f>
        <v>2032</v>
      </c>
      <c r="B12" s="160">
        <v>0</v>
      </c>
      <c r="E12" s="13"/>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s="14"/>
    </row>
    <row r="13" spans="1:52" x14ac:dyDescent="0.25">
      <c r="A13" s="1">
        <f>IF(A12&lt;'Project Information'!B$11,A12+1,"")</f>
        <v>2033</v>
      </c>
      <c r="B13" s="160">
        <v>0</v>
      </c>
      <c r="E13" s="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s="14"/>
    </row>
    <row r="14" spans="1:52" x14ac:dyDescent="0.25">
      <c r="A14" s="1">
        <f>IF(A13&lt;'Project Information'!B$11,A13+1,"")</f>
        <v>2034</v>
      </c>
      <c r="B14" s="160">
        <v>0</v>
      </c>
      <c r="E14" s="13"/>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s="14"/>
    </row>
    <row r="15" spans="1:52" x14ac:dyDescent="0.25">
      <c r="A15" s="1">
        <f>IF(A14&lt;'Project Information'!B$11,A14+1,"")</f>
        <v>2035</v>
      </c>
      <c r="B15" s="160">
        <v>0</v>
      </c>
      <c r="E15" s="13"/>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s="14"/>
    </row>
    <row r="16" spans="1:52" x14ac:dyDescent="0.25">
      <c r="A16" s="1">
        <f>IF(A15&lt;'Project Information'!B$11,A15+1,"")</f>
        <v>2036</v>
      </c>
      <c r="B16" s="160">
        <v>0</v>
      </c>
      <c r="E16" s="13"/>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s="14"/>
    </row>
    <row r="17" spans="1:52" x14ac:dyDescent="0.25">
      <c r="A17" s="1">
        <f>IF(A16&lt;'Project Information'!B$11,A16+1,"")</f>
        <v>2037</v>
      </c>
      <c r="B17" s="160">
        <v>0</v>
      </c>
      <c r="E17" s="13"/>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s="14"/>
    </row>
    <row r="18" spans="1:52" x14ac:dyDescent="0.25">
      <c r="A18" s="1">
        <f>IF(A17&lt;'Project Information'!B$11,A17+1,"")</f>
        <v>2038</v>
      </c>
      <c r="B18" s="160">
        <v>0</v>
      </c>
      <c r="E18" s="13"/>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s="14"/>
    </row>
    <row r="19" spans="1:52" x14ac:dyDescent="0.25">
      <c r="A19" s="1">
        <f>IF(A18&lt;'Project Information'!B$11,A18+1,"")</f>
        <v>2039</v>
      </c>
      <c r="B19" s="160">
        <v>0</v>
      </c>
      <c r="E19" s="13"/>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s="14"/>
    </row>
    <row r="20" spans="1:52" x14ac:dyDescent="0.25">
      <c r="A20" s="1">
        <f>IF(A19&lt;'Project Information'!B$11,A19+1,"")</f>
        <v>2040</v>
      </c>
      <c r="B20" s="160">
        <v>0</v>
      </c>
      <c r="E20" s="13"/>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s="14"/>
    </row>
    <row r="21" spans="1:52" x14ac:dyDescent="0.25">
      <c r="A21" s="1">
        <f>IF(A20&lt;'Project Information'!B$11,A20+1,"")</f>
        <v>2041</v>
      </c>
      <c r="B21" s="160">
        <v>0</v>
      </c>
      <c r="E21" s="13"/>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s="14"/>
    </row>
    <row r="22" spans="1:52" x14ac:dyDescent="0.25">
      <c r="A22" s="1">
        <f>IF(A21&lt;'Project Information'!B$11,A21+1,"")</f>
        <v>2042</v>
      </c>
      <c r="B22" s="160">
        <v>0</v>
      </c>
      <c r="E22" s="13"/>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s="14"/>
    </row>
    <row r="23" spans="1:52" x14ac:dyDescent="0.25">
      <c r="A23" s="1">
        <f>IF(A22&lt;'Project Information'!B$11,A22+1,"")</f>
        <v>2043</v>
      </c>
      <c r="B23" s="160">
        <v>0</v>
      </c>
      <c r="E23" s="1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s="14"/>
    </row>
    <row r="24" spans="1:52" x14ac:dyDescent="0.25">
      <c r="A24" s="1">
        <f>IF(A23&lt;'Project Information'!B$11,A23+1,"")</f>
        <v>2044</v>
      </c>
      <c r="B24" s="160">
        <v>0</v>
      </c>
      <c r="E24" s="13"/>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s="14"/>
    </row>
    <row r="25" spans="1:52" x14ac:dyDescent="0.25">
      <c r="A25" s="1">
        <f>IF(A24&lt;'Project Information'!B$11,A24+1,"")</f>
        <v>2045</v>
      </c>
      <c r="B25" s="160">
        <v>0</v>
      </c>
      <c r="E25" s="13"/>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s="14"/>
    </row>
    <row r="26" spans="1:52" x14ac:dyDescent="0.25">
      <c r="A26" s="1">
        <f>IF(A25&lt;'Project Information'!B$11,A25+1,"")</f>
        <v>2046</v>
      </c>
      <c r="B26" s="160">
        <v>0</v>
      </c>
      <c r="E26" s="13"/>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s="14"/>
    </row>
    <row r="27" spans="1:52" x14ac:dyDescent="0.25">
      <c r="A27" s="1">
        <f>IF(A26&lt;'Project Information'!B$11,A26+1,"")</f>
        <v>2047</v>
      </c>
      <c r="B27" s="160">
        <v>0</v>
      </c>
      <c r="E27" s="13"/>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s="14"/>
    </row>
    <row r="28" spans="1:52" x14ac:dyDescent="0.25">
      <c r="A28" s="1">
        <f>IF(A27&lt;'Project Information'!B$11,A27+1,"")</f>
        <v>2048</v>
      </c>
      <c r="B28" s="160">
        <v>0</v>
      </c>
      <c r="E28" s="13"/>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s="14"/>
    </row>
    <row r="29" spans="1:52" x14ac:dyDescent="0.25">
      <c r="A29" s="1">
        <f>IF(A28&lt;'Project Information'!B$11,A28+1,"")</f>
        <v>2049</v>
      </c>
      <c r="B29" s="160">
        <v>0</v>
      </c>
      <c r="E29" s="13"/>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s="14"/>
    </row>
    <row r="30" spans="1:52" x14ac:dyDescent="0.25">
      <c r="A30" s="1">
        <f>IF(A29&lt;'Project Information'!B$11,A29+1,"")</f>
        <v>2050</v>
      </c>
      <c r="B30" s="160">
        <v>0</v>
      </c>
      <c r="E30" s="13"/>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s="14"/>
    </row>
    <row r="31" spans="1:52" x14ac:dyDescent="0.25">
      <c r="A31" s="1">
        <f>IF(A30&lt;'Project Information'!B$11,A30+1,"")</f>
        <v>2051</v>
      </c>
      <c r="B31" s="160">
        <v>0</v>
      </c>
      <c r="E31" s="13"/>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s="14"/>
    </row>
    <row r="32" spans="1:52" x14ac:dyDescent="0.25">
      <c r="A32" s="1">
        <f>IF(A31&lt;'Project Information'!B$11,A31+1,"")</f>
        <v>2052</v>
      </c>
      <c r="B32" s="160">
        <v>0</v>
      </c>
      <c r="E32" s="13"/>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s="14"/>
    </row>
    <row r="33" spans="1:52" x14ac:dyDescent="0.25">
      <c r="A33" s="1" t="str">
        <f>IF(A32&lt;'Project Information'!B$11,A32+1,"")</f>
        <v/>
      </c>
      <c r="B33" s="160">
        <v>0</v>
      </c>
      <c r="E33" s="1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s="14"/>
    </row>
    <row r="34" spans="1:52" x14ac:dyDescent="0.25">
      <c r="A34" s="1" t="str">
        <f>IF(A33&lt;'Project Information'!B$11,A33+1,"")</f>
        <v/>
      </c>
      <c r="B34" s="160">
        <v>0</v>
      </c>
      <c r="E34" s="13"/>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s="14"/>
    </row>
    <row r="35" spans="1:52" x14ac:dyDescent="0.25">
      <c r="A35" s="1" t="str">
        <f>IF(A34&lt;'Project Information'!B$11,A34+1,"")</f>
        <v/>
      </c>
      <c r="B35" s="160">
        <v>0</v>
      </c>
      <c r="E35" s="13"/>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s="14"/>
    </row>
    <row r="36" spans="1:52" x14ac:dyDescent="0.25">
      <c r="A36" s="1" t="str">
        <f>IF(A35&lt;'Project Information'!B$11,A35+1,"")</f>
        <v/>
      </c>
      <c r="B36" s="160">
        <v>0</v>
      </c>
      <c r="E36" s="13"/>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s="14"/>
    </row>
    <row r="37" spans="1:52" x14ac:dyDescent="0.25">
      <c r="A37" s="2" t="str">
        <f>IF(A36&lt;'Project Information'!B$11,A36+1,"")</f>
        <v/>
      </c>
      <c r="B37" s="116">
        <v>0</v>
      </c>
      <c r="E37" s="13"/>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s="14"/>
    </row>
    <row r="38" spans="1:52" x14ac:dyDescent="0.25">
      <c r="E38" s="13"/>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s="14"/>
    </row>
    <row r="39" spans="1:52" x14ac:dyDescent="0.25">
      <c r="E39" s="13"/>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s="14"/>
    </row>
    <row r="40" spans="1:52" x14ac:dyDescent="0.25">
      <c r="E40" s="13"/>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s="14"/>
    </row>
    <row r="41" spans="1:52" x14ac:dyDescent="0.25">
      <c r="E41" s="13"/>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s="14"/>
    </row>
    <row r="42" spans="1:52" x14ac:dyDescent="0.25">
      <c r="E42" s="13"/>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s="14"/>
    </row>
    <row r="43" spans="1:52" x14ac:dyDescent="0.25">
      <c r="E43" s="1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s="14"/>
    </row>
    <row r="44" spans="1:52" x14ac:dyDescent="0.25">
      <c r="E44" s="13"/>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s="14"/>
    </row>
    <row r="45" spans="1:52" x14ac:dyDescent="0.25">
      <c r="E45" s="13"/>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s="14"/>
    </row>
    <row r="46" spans="1:52" x14ac:dyDescent="0.25">
      <c r="E46" s="13"/>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s="14"/>
    </row>
    <row r="47" spans="1:52" x14ac:dyDescent="0.25">
      <c r="E47" s="13"/>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s="14"/>
    </row>
    <row r="48" spans="1:52" x14ac:dyDescent="0.25">
      <c r="E48" s="13"/>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s="14"/>
    </row>
    <row r="49" spans="5:52" x14ac:dyDescent="0.25">
      <c r="E49" s="13"/>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s="14"/>
    </row>
    <row r="50" spans="5:52" x14ac:dyDescent="0.25">
      <c r="E50" s="13"/>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s="14"/>
    </row>
    <row r="51" spans="5:52" x14ac:dyDescent="0.25">
      <c r="E51" s="13"/>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s="14"/>
    </row>
    <row r="52" spans="5:52" x14ac:dyDescent="0.25">
      <c r="E52" s="13"/>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s="14"/>
    </row>
    <row r="53" spans="5:52" x14ac:dyDescent="0.25">
      <c r="E53" s="1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s="14"/>
    </row>
    <row r="54" spans="5:52" x14ac:dyDescent="0.25">
      <c r="E54" s="13"/>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s="14"/>
    </row>
    <row r="55" spans="5:52" x14ac:dyDescent="0.25">
      <c r="E55" s="13"/>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s="14"/>
    </row>
    <row r="56" spans="5:52" x14ac:dyDescent="0.25">
      <c r="E56" s="13"/>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s="14"/>
    </row>
    <row r="57" spans="5:52" x14ac:dyDescent="0.25">
      <c r="E57" s="13"/>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s="14"/>
    </row>
    <row r="58" spans="5:52" x14ac:dyDescent="0.25">
      <c r="E58" s="13"/>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s="14"/>
    </row>
    <row r="59" spans="5:52" x14ac:dyDescent="0.25">
      <c r="E59" s="13"/>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s="14"/>
    </row>
    <row r="60" spans="5:52" x14ac:dyDescent="0.25">
      <c r="E60" s="13"/>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s="14"/>
    </row>
    <row r="61" spans="5:52" x14ac:dyDescent="0.25">
      <c r="E61" s="13"/>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s="14"/>
    </row>
    <row r="62" spans="5:52" x14ac:dyDescent="0.25">
      <c r="E62" s="13"/>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s="14"/>
    </row>
    <row r="63" spans="5:52" x14ac:dyDescent="0.25">
      <c r="E63" s="1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s="14"/>
    </row>
    <row r="64" spans="5:52" x14ac:dyDescent="0.25">
      <c r="E64" s="13"/>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s="14"/>
    </row>
    <row r="65" spans="5:52" x14ac:dyDescent="0.25">
      <c r="E65" s="13"/>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s="14"/>
    </row>
    <row r="66" spans="5:52" x14ac:dyDescent="0.25">
      <c r="E66" s="13"/>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s="14"/>
    </row>
    <row r="67" spans="5:52" x14ac:dyDescent="0.25">
      <c r="E67" s="13"/>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s="14"/>
    </row>
    <row r="68" spans="5:52" x14ac:dyDescent="0.25">
      <c r="E68" s="13"/>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s="14"/>
    </row>
    <row r="69" spans="5:52" x14ac:dyDescent="0.25">
      <c r="E69" s="13"/>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s="14"/>
    </row>
    <row r="70" spans="5:52" x14ac:dyDescent="0.25">
      <c r="E70" s="13"/>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s="14"/>
    </row>
    <row r="71" spans="5:52" x14ac:dyDescent="0.25">
      <c r="E71" s="13"/>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s="14"/>
    </row>
    <row r="72" spans="5:52" x14ac:dyDescent="0.25">
      <c r="E72" s="13"/>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s="14"/>
    </row>
    <row r="73" spans="5:52" x14ac:dyDescent="0.25">
      <c r="E73" s="1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s="14"/>
    </row>
    <row r="74" spans="5:52" x14ac:dyDescent="0.25">
      <c r="E74" s="13"/>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s="14"/>
    </row>
    <row r="75" spans="5:52" x14ac:dyDescent="0.25">
      <c r="E75" s="13"/>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s="14"/>
    </row>
    <row r="76" spans="5:52" x14ac:dyDescent="0.25">
      <c r="E76" s="13"/>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s="14"/>
    </row>
    <row r="77" spans="5:52" x14ac:dyDescent="0.25">
      <c r="E77" s="13"/>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s="14"/>
    </row>
    <row r="78" spans="5:52" x14ac:dyDescent="0.25">
      <c r="E78" s="13"/>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s="14"/>
    </row>
    <row r="79" spans="5:52" x14ac:dyDescent="0.25">
      <c r="E79" s="13"/>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s="14"/>
    </row>
    <row r="80" spans="5:52" x14ac:dyDescent="0.25">
      <c r="E80" s="13"/>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s="14"/>
    </row>
    <row r="81" spans="5:52" x14ac:dyDescent="0.25">
      <c r="E81" s="13"/>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s="14"/>
    </row>
    <row r="82" spans="5:52" x14ac:dyDescent="0.25">
      <c r="E82" s="13"/>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s="14"/>
    </row>
    <row r="83" spans="5:52" x14ac:dyDescent="0.25">
      <c r="E83" s="1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s="14"/>
    </row>
    <row r="84" spans="5:52" x14ac:dyDescent="0.25">
      <c r="E84" s="13"/>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s="14"/>
    </row>
    <row r="85" spans="5:52" x14ac:dyDescent="0.25">
      <c r="E85" s="13"/>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s="14"/>
    </row>
    <row r="86" spans="5:52" x14ac:dyDescent="0.25">
      <c r="E86" s="13"/>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s="14"/>
    </row>
    <row r="87" spans="5:52" ht="15.75" thickBot="1" x14ac:dyDescent="0.3">
      <c r="E87" s="15"/>
      <c r="F87" s="16"/>
      <c r="G87" s="16"/>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6"/>
      <c r="AY87" s="16"/>
      <c r="AZ87" s="17"/>
    </row>
  </sheetData>
  <conditionalFormatting sqref="B8:B37">
    <cfRule type="expression" dxfId="2" priority="1">
      <formula>A8=""</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1C50E-A8C3-41A1-9AAA-104E7953FC32}">
  <sheetPr>
    <tabColor theme="9" tint="0.39997558519241921"/>
  </sheetPr>
  <dimension ref="A1:AZ91"/>
  <sheetViews>
    <sheetView zoomScaleNormal="100" workbookViewId="0">
      <selection activeCell="A24" sqref="A24:A32"/>
    </sheetView>
  </sheetViews>
  <sheetFormatPr defaultColWidth="9.140625" defaultRowHeight="15" x14ac:dyDescent="0.25"/>
  <cols>
    <col min="1" max="1" width="40.85546875" style="5" customWidth="1"/>
    <col min="2" max="2" width="40.7109375" style="5" customWidth="1"/>
    <col min="3" max="16384" width="9.140625" style="5"/>
  </cols>
  <sheetData>
    <row r="1" spans="1:52" ht="20.25" thickBot="1" x14ac:dyDescent="0.35">
      <c r="A1" s="93" t="s">
        <v>16</v>
      </c>
    </row>
    <row r="2" spans="1:52" ht="15.75" thickTop="1" x14ac:dyDescent="0.25">
      <c r="A2" s="148" t="s">
        <v>233</v>
      </c>
      <c r="B2" s="148"/>
      <c r="C2" s="148"/>
      <c r="D2" s="148"/>
      <c r="E2" s="148"/>
      <c r="F2" s="148"/>
      <c r="G2" s="148"/>
    </row>
    <row r="3" spans="1:52" x14ac:dyDescent="0.25">
      <c r="A3" s="148" t="s">
        <v>235</v>
      </c>
      <c r="B3" s="148"/>
      <c r="C3" s="148"/>
    </row>
    <row r="4" spans="1:52" x14ac:dyDescent="0.25">
      <c r="A4" s="148" t="s">
        <v>234</v>
      </c>
      <c r="B4" s="148"/>
      <c r="C4" s="148"/>
      <c r="D4" s="148"/>
      <c r="E4" s="148"/>
      <c r="F4" s="148"/>
    </row>
    <row r="5" spans="1:52" x14ac:dyDescent="0.25">
      <c r="A5" s="5" t="s">
        <v>198</v>
      </c>
    </row>
    <row r="6" spans="1:52" x14ac:dyDescent="0.25">
      <c r="A6" s="148" t="s">
        <v>232</v>
      </c>
      <c r="B6" s="148"/>
    </row>
    <row r="7" spans="1:52" x14ac:dyDescent="0.25">
      <c r="A7" s="5" t="s">
        <v>198</v>
      </c>
    </row>
    <row r="8" spans="1:52" x14ac:dyDescent="0.25">
      <c r="A8" s="149" t="s">
        <v>257</v>
      </c>
      <c r="B8" s="148"/>
      <c r="C8" s="148"/>
      <c r="D8" s="148"/>
      <c r="E8" s="148"/>
      <c r="F8" s="148"/>
      <c r="G8" s="148"/>
      <c r="H8" s="148"/>
      <c r="I8" s="148"/>
      <c r="J8" s="148"/>
      <c r="K8" s="148"/>
    </row>
    <row r="9" spans="1:52" x14ac:dyDescent="0.25">
      <c r="A9" s="38" t="s">
        <v>198</v>
      </c>
    </row>
    <row r="10" spans="1:52" ht="15.75" thickBot="1" x14ac:dyDescent="0.3">
      <c r="A10" s="94" t="s">
        <v>245</v>
      </c>
    </row>
    <row r="11" spans="1:52" x14ac:dyDescent="0.25">
      <c r="A11" s="106" t="s">
        <v>4</v>
      </c>
      <c r="B11" s="24" t="s">
        <v>16</v>
      </c>
      <c r="C11" s="5" t="s">
        <v>157</v>
      </c>
      <c r="E11" s="10" t="s">
        <v>159</v>
      </c>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2"/>
    </row>
    <row r="12" spans="1:52" x14ac:dyDescent="0.25">
      <c r="A12" s="6">
        <f>'Project Information'!$B$9</f>
        <v>2028</v>
      </c>
      <c r="B12" s="160">
        <v>0</v>
      </c>
      <c r="E12" s="13"/>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s="14"/>
    </row>
    <row r="13" spans="1:52" x14ac:dyDescent="0.25">
      <c r="A13" s="1">
        <f>IF(A12&lt;'Project Information'!B$11,A12+1,"")</f>
        <v>2029</v>
      </c>
      <c r="B13" s="160">
        <v>0</v>
      </c>
      <c r="E13" s="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s="14"/>
    </row>
    <row r="14" spans="1:52" x14ac:dyDescent="0.25">
      <c r="A14" s="1">
        <f>IF(A13&lt;'Project Information'!B$11,A13+1,"")</f>
        <v>2030</v>
      </c>
      <c r="B14" s="160">
        <v>0</v>
      </c>
      <c r="E14" s="13"/>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s="14"/>
    </row>
    <row r="15" spans="1:52" x14ac:dyDescent="0.25">
      <c r="A15" s="1">
        <f>IF(A14&lt;'Project Information'!B$11,A14+1,"")</f>
        <v>2031</v>
      </c>
      <c r="B15" s="160">
        <v>0</v>
      </c>
      <c r="E15" s="13"/>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s="14"/>
    </row>
    <row r="16" spans="1:52" x14ac:dyDescent="0.25">
      <c r="A16" s="1">
        <f>IF(A15&lt;'Project Information'!B$11,A15+1,"")</f>
        <v>2032</v>
      </c>
      <c r="B16" s="160">
        <v>0</v>
      </c>
      <c r="E16" s="13"/>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s="14"/>
    </row>
    <row r="17" spans="1:52" x14ac:dyDescent="0.25">
      <c r="A17" s="1">
        <f>IF(A16&lt;'Project Information'!B$11,A16+1,"")</f>
        <v>2033</v>
      </c>
      <c r="B17" s="160">
        <v>0</v>
      </c>
      <c r="E17" s="13"/>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s="14"/>
    </row>
    <row r="18" spans="1:52" x14ac:dyDescent="0.25">
      <c r="A18" s="1">
        <f>IF(A17&lt;'Project Information'!B$11,A17+1,"")</f>
        <v>2034</v>
      </c>
      <c r="B18" s="160">
        <v>0</v>
      </c>
      <c r="E18" s="13"/>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s="14"/>
    </row>
    <row r="19" spans="1:52" x14ac:dyDescent="0.25">
      <c r="A19" s="1">
        <f>IF(A18&lt;'Project Information'!B$11,A18+1,"")</f>
        <v>2035</v>
      </c>
      <c r="B19" s="160">
        <v>0</v>
      </c>
      <c r="E19" s="13"/>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s="14"/>
    </row>
    <row r="20" spans="1:52" x14ac:dyDescent="0.25">
      <c r="A20" s="1">
        <f>IF(A19&lt;'Project Information'!B$11,A19+1,"")</f>
        <v>2036</v>
      </c>
      <c r="B20" s="160">
        <v>0</v>
      </c>
      <c r="E20" s="13"/>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s="14"/>
    </row>
    <row r="21" spans="1:52" x14ac:dyDescent="0.25">
      <c r="A21" s="1">
        <f>IF(A20&lt;'Project Information'!B$11,A20+1,"")</f>
        <v>2037</v>
      </c>
      <c r="B21" s="160">
        <v>0</v>
      </c>
      <c r="E21" s="13"/>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s="14"/>
    </row>
    <row r="22" spans="1:52" x14ac:dyDescent="0.25">
      <c r="A22" s="1">
        <f>IF(A21&lt;'Project Information'!B$11,A21+1,"")</f>
        <v>2038</v>
      </c>
      <c r="B22" s="160">
        <v>0</v>
      </c>
      <c r="E22" s="13"/>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s="14"/>
    </row>
    <row r="23" spans="1:52" x14ac:dyDescent="0.25">
      <c r="A23" s="1">
        <f>IF(A22&lt;'Project Information'!B$11,A22+1,"")</f>
        <v>2039</v>
      </c>
      <c r="B23" s="160">
        <v>0</v>
      </c>
      <c r="E23" s="1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s="14"/>
    </row>
    <row r="24" spans="1:52" x14ac:dyDescent="0.25">
      <c r="A24" s="1">
        <f>IF(A23&lt;'Project Information'!B$11,A23+1,"")</f>
        <v>2040</v>
      </c>
      <c r="B24" s="160">
        <v>0</v>
      </c>
      <c r="E24" s="13"/>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s="14"/>
    </row>
    <row r="25" spans="1:52" x14ac:dyDescent="0.25">
      <c r="A25" s="1">
        <f>IF(A24&lt;'Project Information'!B$11,A24+1,"")</f>
        <v>2041</v>
      </c>
      <c r="B25" s="160">
        <v>0</v>
      </c>
      <c r="E25" s="13"/>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s="14"/>
    </row>
    <row r="26" spans="1:52" x14ac:dyDescent="0.25">
      <c r="A26" s="1">
        <f>IF(A25&lt;'Project Information'!B$11,A25+1,"")</f>
        <v>2042</v>
      </c>
      <c r="B26" s="160">
        <v>0</v>
      </c>
      <c r="E26" s="13"/>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s="14"/>
    </row>
    <row r="27" spans="1:52" x14ac:dyDescent="0.25">
      <c r="A27" s="1">
        <f>IF(A26&lt;'Project Information'!B$11,A26+1,"")</f>
        <v>2043</v>
      </c>
      <c r="B27" s="160">
        <v>0</v>
      </c>
      <c r="E27" s="13"/>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s="14"/>
    </row>
    <row r="28" spans="1:52" x14ac:dyDescent="0.25">
      <c r="A28" s="1">
        <f>IF(A27&lt;'Project Information'!B$11,A27+1,"")</f>
        <v>2044</v>
      </c>
      <c r="B28" s="160">
        <v>0</v>
      </c>
      <c r="E28" s="13"/>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s="14"/>
    </row>
    <row r="29" spans="1:52" x14ac:dyDescent="0.25">
      <c r="A29" s="1">
        <f>IF(A28&lt;'Project Information'!B$11,A28+1,"")</f>
        <v>2045</v>
      </c>
      <c r="B29" s="160">
        <v>0</v>
      </c>
      <c r="E29" s="13"/>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s="14"/>
    </row>
    <row r="30" spans="1:52" x14ac:dyDescent="0.25">
      <c r="A30" s="1">
        <f>IF(A29&lt;'Project Information'!B$11,A29+1,"")</f>
        <v>2046</v>
      </c>
      <c r="B30" s="160">
        <v>0</v>
      </c>
      <c r="E30" s="13"/>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s="14"/>
    </row>
    <row r="31" spans="1:52" x14ac:dyDescent="0.25">
      <c r="A31" s="1">
        <f>IF(A30&lt;'Project Information'!B$11,A30+1,"")</f>
        <v>2047</v>
      </c>
      <c r="B31" s="160">
        <v>0</v>
      </c>
      <c r="E31" s="13"/>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s="14"/>
    </row>
    <row r="32" spans="1:52" x14ac:dyDescent="0.25">
      <c r="A32" s="1">
        <f>IF(A31&lt;'Project Information'!B$11,A31+1,"")</f>
        <v>2048</v>
      </c>
      <c r="B32" s="160">
        <v>0</v>
      </c>
      <c r="E32" s="13"/>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s="14"/>
    </row>
    <row r="33" spans="1:52" x14ac:dyDescent="0.25">
      <c r="A33" s="1">
        <f>IF(A32&lt;'Project Information'!B$11,A32+1,"")</f>
        <v>2049</v>
      </c>
      <c r="B33" s="160">
        <v>0</v>
      </c>
      <c r="E33" s="1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s="14"/>
    </row>
    <row r="34" spans="1:52" x14ac:dyDescent="0.25">
      <c r="A34" s="1">
        <f>IF(A33&lt;'Project Information'!B$11,A33+1,"")</f>
        <v>2050</v>
      </c>
      <c r="B34" s="160">
        <v>0</v>
      </c>
      <c r="E34" s="13"/>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s="14"/>
    </row>
    <row r="35" spans="1:52" x14ac:dyDescent="0.25">
      <c r="A35" s="1">
        <f>IF(A34&lt;'Project Information'!B$11,A34+1,"")</f>
        <v>2051</v>
      </c>
      <c r="B35" s="160">
        <v>0</v>
      </c>
      <c r="E35" s="13"/>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s="14"/>
    </row>
    <row r="36" spans="1:52" x14ac:dyDescent="0.25">
      <c r="A36" s="1">
        <f>IF(A35&lt;'Project Information'!B$11,A35+1,"")</f>
        <v>2052</v>
      </c>
      <c r="B36" s="160">
        <v>0</v>
      </c>
      <c r="E36" s="13"/>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s="14"/>
    </row>
    <row r="37" spans="1:52" x14ac:dyDescent="0.25">
      <c r="A37" s="1" t="str">
        <f>IF(A36&lt;'Project Information'!B$11,A36+1,"")</f>
        <v/>
      </c>
      <c r="B37" s="160">
        <v>0</v>
      </c>
      <c r="E37" s="13"/>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s="14"/>
    </row>
    <row r="38" spans="1:52" x14ac:dyDescent="0.25">
      <c r="A38" s="1" t="str">
        <f>IF(A37&lt;'Project Information'!B$11,A37+1,"")</f>
        <v/>
      </c>
      <c r="B38" s="160">
        <v>0</v>
      </c>
      <c r="E38" s="13"/>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s="14"/>
    </row>
    <row r="39" spans="1:52" x14ac:dyDescent="0.25">
      <c r="A39" s="1" t="str">
        <f>IF(A38&lt;'Project Information'!B$11,A38+1,"")</f>
        <v/>
      </c>
      <c r="B39" s="160">
        <v>0</v>
      </c>
      <c r="E39" s="13"/>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s="14"/>
    </row>
    <row r="40" spans="1:52" x14ac:dyDescent="0.25">
      <c r="A40" s="1" t="str">
        <f>IF(A39&lt;'Project Information'!B$11,A39+1,"")</f>
        <v/>
      </c>
      <c r="B40" s="160">
        <v>0</v>
      </c>
      <c r="E40" s="13"/>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s="14"/>
    </row>
    <row r="41" spans="1:52" x14ac:dyDescent="0.25">
      <c r="A41" s="2" t="str">
        <f>IF(A40&lt;'Project Information'!B$11,A40+1,"")</f>
        <v/>
      </c>
      <c r="B41" s="116">
        <v>0</v>
      </c>
      <c r="E41" s="13"/>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s="14"/>
    </row>
    <row r="42" spans="1:52" x14ac:dyDescent="0.25">
      <c r="E42" s="13"/>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s="14"/>
    </row>
    <row r="43" spans="1:52" x14ac:dyDescent="0.25">
      <c r="E43" s="1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s="14"/>
    </row>
    <row r="44" spans="1:52" x14ac:dyDescent="0.25">
      <c r="E44" s="13"/>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s="14"/>
    </row>
    <row r="45" spans="1:52" x14ac:dyDescent="0.25">
      <c r="E45" s="13"/>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s="14"/>
    </row>
    <row r="46" spans="1:52" x14ac:dyDescent="0.25">
      <c r="E46" s="13"/>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s="14"/>
    </row>
    <row r="47" spans="1:52" x14ac:dyDescent="0.25">
      <c r="E47" s="13"/>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s="14"/>
    </row>
    <row r="48" spans="1:52" x14ac:dyDescent="0.25">
      <c r="E48" s="13"/>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s="14"/>
    </row>
    <row r="49" spans="5:52" x14ac:dyDescent="0.25">
      <c r="E49" s="13"/>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s="14"/>
    </row>
    <row r="50" spans="5:52" x14ac:dyDescent="0.25">
      <c r="E50" s="13"/>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s="14"/>
    </row>
    <row r="51" spans="5:52" x14ac:dyDescent="0.25">
      <c r="E51" s="13"/>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s="14"/>
    </row>
    <row r="52" spans="5:52" x14ac:dyDescent="0.25">
      <c r="E52" s="13"/>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s="14"/>
    </row>
    <row r="53" spans="5:52" x14ac:dyDescent="0.25">
      <c r="E53" s="1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s="14"/>
    </row>
    <row r="54" spans="5:52" x14ac:dyDescent="0.25">
      <c r="E54" s="13"/>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s="14"/>
    </row>
    <row r="55" spans="5:52" x14ac:dyDescent="0.25">
      <c r="E55" s="13"/>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s="14"/>
    </row>
    <row r="56" spans="5:52" x14ac:dyDescent="0.25">
      <c r="E56" s="13"/>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s="14"/>
    </row>
    <row r="57" spans="5:52" x14ac:dyDescent="0.25">
      <c r="E57" s="13"/>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s="14"/>
    </row>
    <row r="58" spans="5:52" x14ac:dyDescent="0.25">
      <c r="E58" s="13"/>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s="14"/>
    </row>
    <row r="59" spans="5:52" x14ac:dyDescent="0.25">
      <c r="E59" s="13"/>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s="14"/>
    </row>
    <row r="60" spans="5:52" x14ac:dyDescent="0.25">
      <c r="E60" s="13"/>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s="14"/>
    </row>
    <row r="61" spans="5:52" x14ac:dyDescent="0.25">
      <c r="E61" s="13"/>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s="14"/>
    </row>
    <row r="62" spans="5:52" x14ac:dyDescent="0.25">
      <c r="E62" s="13"/>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s="14"/>
    </row>
    <row r="63" spans="5:52" x14ac:dyDescent="0.25">
      <c r="E63" s="1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s="14"/>
    </row>
    <row r="64" spans="5:52" x14ac:dyDescent="0.25">
      <c r="E64" s="13"/>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s="14"/>
    </row>
    <row r="65" spans="5:52" x14ac:dyDescent="0.25">
      <c r="E65" s="13"/>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s="14"/>
    </row>
    <row r="66" spans="5:52" x14ac:dyDescent="0.25">
      <c r="E66" s="13"/>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s="14"/>
    </row>
    <row r="67" spans="5:52" x14ac:dyDescent="0.25">
      <c r="E67" s="13"/>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s="14"/>
    </row>
    <row r="68" spans="5:52" x14ac:dyDescent="0.25">
      <c r="E68" s="13"/>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s="14"/>
    </row>
    <row r="69" spans="5:52" x14ac:dyDescent="0.25">
      <c r="E69" s="13"/>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s="14"/>
    </row>
    <row r="70" spans="5:52" x14ac:dyDescent="0.25">
      <c r="E70" s="13"/>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s="14"/>
    </row>
    <row r="71" spans="5:52" x14ac:dyDescent="0.25">
      <c r="E71" s="13"/>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s="14"/>
    </row>
    <row r="72" spans="5:52" x14ac:dyDescent="0.25">
      <c r="E72" s="13"/>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s="14"/>
    </row>
    <row r="73" spans="5:52" x14ac:dyDescent="0.25">
      <c r="E73" s="1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s="14"/>
    </row>
    <row r="74" spans="5:52" x14ac:dyDescent="0.25">
      <c r="E74" s="13"/>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s="14"/>
    </row>
    <row r="75" spans="5:52" x14ac:dyDescent="0.25">
      <c r="E75" s="13"/>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s="14"/>
    </row>
    <row r="76" spans="5:52" x14ac:dyDescent="0.25">
      <c r="E76" s="13"/>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s="14"/>
    </row>
    <row r="77" spans="5:52" x14ac:dyDescent="0.25">
      <c r="E77" s="13"/>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s="14"/>
    </row>
    <row r="78" spans="5:52" x14ac:dyDescent="0.25">
      <c r="E78" s="13"/>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s="14"/>
    </row>
    <row r="79" spans="5:52" x14ac:dyDescent="0.25">
      <c r="E79" s="13"/>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s="14"/>
    </row>
    <row r="80" spans="5:52" x14ac:dyDescent="0.25">
      <c r="E80" s="13"/>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s="14"/>
    </row>
    <row r="81" spans="5:52" x14ac:dyDescent="0.25">
      <c r="E81" s="13"/>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s="14"/>
    </row>
    <row r="82" spans="5:52" x14ac:dyDescent="0.25">
      <c r="E82" s="13"/>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s="14"/>
    </row>
    <row r="83" spans="5:52" x14ac:dyDescent="0.25">
      <c r="E83" s="1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s="14"/>
    </row>
    <row r="84" spans="5:52" x14ac:dyDescent="0.25">
      <c r="E84" s="13"/>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s="14"/>
    </row>
    <row r="85" spans="5:52" x14ac:dyDescent="0.25">
      <c r="E85" s="13"/>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s="14"/>
    </row>
    <row r="86" spans="5:52" x14ac:dyDescent="0.25">
      <c r="E86" s="13"/>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s="14"/>
    </row>
    <row r="87" spans="5:52" x14ac:dyDescent="0.25">
      <c r="E87" s="13"/>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s="14"/>
    </row>
    <row r="88" spans="5:52" x14ac:dyDescent="0.25">
      <c r="E88" s="13"/>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s="14"/>
    </row>
    <row r="89" spans="5:52" x14ac:dyDescent="0.25">
      <c r="E89" s="13"/>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s="14"/>
    </row>
    <row r="90" spans="5:52" x14ac:dyDescent="0.25">
      <c r="E90" s="13"/>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s="14"/>
    </row>
    <row r="91" spans="5:52" ht="15.75" thickBot="1" x14ac:dyDescent="0.3">
      <c r="E91" s="15"/>
      <c r="F91" s="16"/>
      <c r="G91" s="16"/>
      <c r="H91" s="16"/>
      <c r="I91" s="16"/>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c r="AU91" s="16"/>
      <c r="AV91" s="16"/>
      <c r="AW91" s="16"/>
      <c r="AX91" s="16"/>
      <c r="AY91" s="16"/>
      <c r="AZ91" s="17"/>
    </row>
  </sheetData>
  <conditionalFormatting sqref="B12:B41">
    <cfRule type="expression" dxfId="1" priority="1">
      <formula>A12=""</formula>
    </cfRule>
  </conditionalFormatting>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223E3-CA4A-450A-91B0-3ECFC3741DDC}">
  <sheetPr>
    <tabColor theme="8" tint="0.39997558519241921"/>
  </sheetPr>
  <dimension ref="A1:U65"/>
  <sheetViews>
    <sheetView topLeftCell="B1" zoomScale="85" zoomScaleNormal="85" workbookViewId="0">
      <selection activeCell="F6" sqref="F6"/>
    </sheetView>
  </sheetViews>
  <sheetFormatPr defaultColWidth="9.140625" defaultRowHeight="15" x14ac:dyDescent="0.25"/>
  <cols>
    <col min="1" max="1" width="32.5703125" style="5" customWidth="1"/>
    <col min="2" max="2" width="20.7109375" style="5" customWidth="1"/>
    <col min="3" max="3" width="23" style="5" customWidth="1"/>
    <col min="4" max="4" width="25.42578125" style="5" customWidth="1"/>
    <col min="5" max="5" width="22.140625" style="5" customWidth="1"/>
    <col min="6" max="6" width="27.85546875" style="5" customWidth="1"/>
    <col min="7" max="7" width="27.42578125" style="5" customWidth="1"/>
    <col min="8" max="8" width="28.7109375" style="5" customWidth="1"/>
    <col min="9" max="9" width="30.85546875" style="5" customWidth="1"/>
    <col min="10" max="10" width="30.28515625" style="5" customWidth="1"/>
    <col min="11" max="11" width="26.42578125" style="5" customWidth="1"/>
    <col min="12" max="12" width="21.140625" style="5" hidden="1" customWidth="1"/>
    <col min="13" max="13" width="19.42578125" style="5" hidden="1" customWidth="1"/>
    <col min="14" max="14" width="21" style="5" hidden="1" customWidth="1"/>
    <col min="15" max="15" width="19" style="5" hidden="1" customWidth="1"/>
    <col min="16" max="16" width="19.42578125" style="5" customWidth="1"/>
    <col min="17" max="17" width="25.7109375" style="5" customWidth="1"/>
    <col min="18" max="18" width="18.140625" style="5" hidden="1" customWidth="1"/>
    <col min="19" max="19" width="15" style="5" hidden="1" customWidth="1"/>
    <col min="20" max="20" width="19.85546875" style="5" hidden="1" customWidth="1"/>
    <col min="21" max="21" width="25.140625" style="5" hidden="1" customWidth="1"/>
    <col min="22" max="16384" width="9.140625" style="5"/>
  </cols>
  <sheetData>
    <row r="1" spans="1:21" ht="20.25" thickBot="1" x14ac:dyDescent="0.35">
      <c r="A1" s="93" t="s">
        <v>214</v>
      </c>
    </row>
    <row r="2" spans="1:21" ht="15.75" thickTop="1" x14ac:dyDescent="0.25">
      <c r="A2" s="148" t="s">
        <v>160</v>
      </c>
      <c r="B2" s="148"/>
      <c r="C2" s="148"/>
      <c r="D2" s="148"/>
      <c r="E2" s="148"/>
      <c r="F2" s="148"/>
      <c r="G2" s="148"/>
      <c r="H2" s="148"/>
      <c r="I2" s="148"/>
      <c r="J2" s="148"/>
    </row>
    <row r="3" spans="1:21" x14ac:dyDescent="0.25">
      <c r="A3" s="5" t="s">
        <v>198</v>
      </c>
    </row>
    <row r="4" spans="1:21" x14ac:dyDescent="0.25">
      <c r="A4" s="94" t="s">
        <v>236</v>
      </c>
    </row>
    <row r="5" spans="1:21" ht="31.5" x14ac:dyDescent="0.35">
      <c r="A5" s="254" t="s">
        <v>4</v>
      </c>
      <c r="B5" s="253" t="s">
        <v>7</v>
      </c>
      <c r="C5" s="253" t="s">
        <v>8</v>
      </c>
      <c r="D5" s="253" t="s">
        <v>9</v>
      </c>
      <c r="E5" s="253" t="s">
        <v>10</v>
      </c>
      <c r="F5" s="253" t="s">
        <v>230</v>
      </c>
      <c r="G5" s="253" t="s">
        <v>231</v>
      </c>
      <c r="H5" s="253" t="s">
        <v>468</v>
      </c>
      <c r="I5" s="253" t="s">
        <v>12</v>
      </c>
      <c r="J5" s="253" t="s">
        <v>11</v>
      </c>
      <c r="K5" s="253" t="s">
        <v>18</v>
      </c>
      <c r="L5" s="110" t="str">
        <f>'Other Benefit 1'!B7</f>
        <v>Other Benefit 1</v>
      </c>
      <c r="M5" s="110" t="str">
        <f>'Other Benefit 2'!B7</f>
        <v>Other Benefit 2</v>
      </c>
      <c r="N5" s="110" t="str">
        <f>'Other Benefit 3'!B7</f>
        <v>Other Benefit 3</v>
      </c>
      <c r="O5" s="110" t="str">
        <f>'Other Benefit 4'!B11</f>
        <v>Other Benefit 4</v>
      </c>
      <c r="P5" s="110" t="s">
        <v>17</v>
      </c>
      <c r="Q5" s="104" t="s">
        <v>0</v>
      </c>
      <c r="R5" s="538" t="s">
        <v>473</v>
      </c>
      <c r="S5" s="539"/>
      <c r="T5" s="539"/>
      <c r="U5" s="539"/>
    </row>
    <row r="6" spans="1:21" x14ac:dyDescent="0.25">
      <c r="A6" s="6">
        <f>'Project Information'!$B$9</f>
        <v>2028</v>
      </c>
      <c r="B6" s="7">
        <f>'Operations and Maintenance'!D8</f>
        <v>-4523309</v>
      </c>
      <c r="C6" s="7">
        <f>Safety!D22</f>
        <v>16374.997040322574</v>
      </c>
      <c r="D6" s="7">
        <f>'Travel Time Savings'!D20</f>
        <v>777624.10499999998</v>
      </c>
      <c r="E6" s="7">
        <f>'Vehicle Operating Cost Savings'!D26</f>
        <v>2307124.4849999985</v>
      </c>
      <c r="F6" s="21">
        <f>'Emissions Reduction'!S33</f>
        <v>9811290.1549999975</v>
      </c>
      <c r="G6" s="21">
        <f>'Emissions Reduction'!T33</f>
        <v>961037.69999999972</v>
      </c>
      <c r="H6" s="21">
        <v>0</v>
      </c>
      <c r="I6" s="7">
        <f>'Amenity Benefits'!B11</f>
        <v>0</v>
      </c>
      <c r="J6" s="7">
        <f>'Health Benefits'!B15</f>
        <v>0</v>
      </c>
      <c r="K6" s="7">
        <f>'Residual Value'!B23</f>
        <v>0</v>
      </c>
      <c r="L6" s="7">
        <f>'Other Benefit 1'!B8</f>
        <v>0</v>
      </c>
      <c r="M6" s="7">
        <f>'Other Benefit 2'!B8</f>
        <v>0</v>
      </c>
      <c r="N6" s="7">
        <f>'Other Benefit 3'!B8</f>
        <v>0</v>
      </c>
      <c r="O6" s="7">
        <f>'Other Benefit 4'!B12</f>
        <v>0</v>
      </c>
      <c r="P6" s="153">
        <f>SUM(C6:O6)-B6</f>
        <v>18396760.442040317</v>
      </c>
      <c r="Q6" s="8">
        <f>IFERROR(((P6-G6)/(1.031)^(A6-Overview!$B$22))+((G6)/(1.02)^(A6-Overview!$B$22)),0)</f>
        <v>15370744.541861031</v>
      </c>
      <c r="R6" s="368">
        <f>Q6</f>
        <v>15370744.541861031</v>
      </c>
      <c r="S6" s="369"/>
      <c r="T6" s="369"/>
      <c r="U6" s="369"/>
    </row>
    <row r="7" spans="1:21" x14ac:dyDescent="0.25">
      <c r="A7" s="1">
        <f>IF(A6&lt;'Project Information'!B$11,A6+1,"")</f>
        <v>2029</v>
      </c>
      <c r="B7" s="7">
        <f>'Operations and Maintenance'!D9</f>
        <v>-4523309</v>
      </c>
      <c r="C7" s="7">
        <f>Safety!D23</f>
        <v>16374.997040322574</v>
      </c>
      <c r="D7" s="7">
        <f>'Travel Time Savings'!D21</f>
        <v>777624.10499999998</v>
      </c>
      <c r="E7" s="7">
        <f>'Vehicle Operating Cost Savings'!D27</f>
        <v>2307124.4849999985</v>
      </c>
      <c r="F7" s="21">
        <f>'Emissions Reduction'!S34</f>
        <v>9811290.1549999975</v>
      </c>
      <c r="G7" s="21">
        <f>'Emissions Reduction'!T34</f>
        <v>961037.69999999972</v>
      </c>
      <c r="H7" s="21">
        <v>0</v>
      </c>
      <c r="I7" s="7">
        <f>'Amenity Benefits'!B12</f>
        <v>0</v>
      </c>
      <c r="J7" s="7">
        <f>'Health Benefits'!B16</f>
        <v>0</v>
      </c>
      <c r="K7" s="7">
        <f>'Residual Value'!B24</f>
        <v>0</v>
      </c>
      <c r="L7" s="7">
        <f>'Other Benefit 1'!B9</f>
        <v>0</v>
      </c>
      <c r="M7" s="7">
        <f>'Other Benefit 2'!B9</f>
        <v>0</v>
      </c>
      <c r="N7" s="7">
        <f>'Other Benefit 3'!B9</f>
        <v>0</v>
      </c>
      <c r="O7" s="7">
        <f>'Other Benefit 4'!B13</f>
        <v>0</v>
      </c>
      <c r="P7" s="153">
        <f t="shared" ref="P7:P28" si="0">SUM(C7:O7)-B7</f>
        <v>18396760.442040317</v>
      </c>
      <c r="Q7" s="8">
        <f>IFERROR(((P7-G7)/(1.031)^(A7-Overview!$B$22))+((G7)/(1.02)^(A7-Overview!$B$22)),0)</f>
        <v>14917504.941348659</v>
      </c>
      <c r="R7" s="368">
        <f>Q7+R6</f>
        <v>30288249.483209692</v>
      </c>
      <c r="S7" s="369"/>
      <c r="T7" s="369"/>
      <c r="U7" s="369"/>
    </row>
    <row r="8" spans="1:21" x14ac:dyDescent="0.25">
      <c r="A8" s="1">
        <f>IF(A7&lt;'Project Information'!B$11,A7+1,"")</f>
        <v>2030</v>
      </c>
      <c r="B8" s="7">
        <f>'Operations and Maintenance'!D10</f>
        <v>-4523309</v>
      </c>
      <c r="C8" s="7">
        <f>Safety!D24</f>
        <v>16374.997040322574</v>
      </c>
      <c r="D8" s="7">
        <f>'Travel Time Savings'!D22</f>
        <v>1698541.0050000001</v>
      </c>
      <c r="E8" s="7">
        <f>'Vehicle Operating Cost Savings'!D28</f>
        <v>6559162.7849999992</v>
      </c>
      <c r="F8" s="21">
        <f>'Emissions Reduction'!S35</f>
        <v>23990138.555</v>
      </c>
      <c r="G8" s="21">
        <f>'Emissions Reduction'!T35</f>
        <v>961037.69999999925</v>
      </c>
      <c r="H8" s="21">
        <v>0</v>
      </c>
      <c r="I8" s="7">
        <f>'Amenity Benefits'!B13</f>
        <v>0</v>
      </c>
      <c r="J8" s="7">
        <f>'Health Benefits'!B17</f>
        <v>0</v>
      </c>
      <c r="K8" s="7">
        <f>'Residual Value'!B30</f>
        <v>0</v>
      </c>
      <c r="L8" s="7">
        <f>'Other Benefit 1'!B10</f>
        <v>0</v>
      </c>
      <c r="M8" s="7">
        <f>'Other Benefit 2'!B10</f>
        <v>0</v>
      </c>
      <c r="N8" s="7">
        <f>'Other Benefit 3'!B10</f>
        <v>0</v>
      </c>
      <c r="O8" s="7">
        <f>'Other Benefit 4'!B14</f>
        <v>0</v>
      </c>
      <c r="P8" s="153">
        <f t="shared" si="0"/>
        <v>37748564.042040318</v>
      </c>
      <c r="Q8" s="8">
        <f>IFERROR(((P8-G8)/(1.031)^(A8-Overview!$B$22))+((G8)/(1.02)^(A8-Overview!$B$22)),0)</f>
        <v>29636075.080279607</v>
      </c>
      <c r="R8" s="368">
        <f>Q8+R7</f>
        <v>59924324.563489303</v>
      </c>
      <c r="S8" s="369"/>
      <c r="T8" s="369"/>
      <c r="U8" s="369"/>
    </row>
    <row r="9" spans="1:21" x14ac:dyDescent="0.25">
      <c r="A9" s="1">
        <f>IF(A8&lt;'Project Information'!B$11,A8+1,"")</f>
        <v>2031</v>
      </c>
      <c r="B9" s="7">
        <f>'Operations and Maintenance'!D11</f>
        <v>-4523309</v>
      </c>
      <c r="C9" s="7">
        <f>Safety!D30</f>
        <v>16374.997040322574</v>
      </c>
      <c r="D9" s="7">
        <f>'Travel Time Savings'!D23</f>
        <v>1698541.0050000001</v>
      </c>
      <c r="E9" s="7">
        <f>'Vehicle Operating Cost Savings'!D29</f>
        <v>6559162.7849999992</v>
      </c>
      <c r="F9" s="21">
        <f>'Emissions Reduction'!S36</f>
        <v>23990138.555</v>
      </c>
      <c r="G9" s="21">
        <f>'Emissions Reduction'!T36</f>
        <v>961037.69999999925</v>
      </c>
      <c r="H9" s="21">
        <v>0</v>
      </c>
      <c r="I9" s="7">
        <f>'Amenity Benefits'!B14</f>
        <v>0</v>
      </c>
      <c r="J9" s="7">
        <f>'Health Benefits'!B18</f>
        <v>0</v>
      </c>
      <c r="K9" s="7">
        <f>'Residual Value'!B26</f>
        <v>0</v>
      </c>
      <c r="L9" s="7">
        <f>'Other Benefit 1'!B11</f>
        <v>0</v>
      </c>
      <c r="M9" s="7">
        <f>'Other Benefit 2'!B11</f>
        <v>0</v>
      </c>
      <c r="N9" s="7">
        <f>'Other Benefit 3'!B11</f>
        <v>0</v>
      </c>
      <c r="O9" s="7">
        <f>'Other Benefit 4'!B15</f>
        <v>0</v>
      </c>
      <c r="P9" s="153">
        <f t="shared" si="0"/>
        <v>37748564.042040318</v>
      </c>
      <c r="Q9" s="8">
        <f>IFERROR(((P9-G9)/(1.031)^(A9-Overview!$B$22))+((G9)/(1.02)^(A9-Overview!$B$22)),0)</f>
        <v>28753560.394953985</v>
      </c>
      <c r="R9" s="368">
        <f>Q9+R8</f>
        <v>88677884.958443284</v>
      </c>
      <c r="S9" s="370">
        <f>'Capital Costs'!C24</f>
        <v>59314325.146818459</v>
      </c>
      <c r="T9" s="371">
        <f>1-(R8/S9)</f>
        <v>-1.0284183713815009E-2</v>
      </c>
      <c r="U9" s="372">
        <f>COUNT(R6:R30)-1+T9</f>
        <v>2.9897158162861848</v>
      </c>
    </row>
    <row r="10" spans="1:21" x14ac:dyDescent="0.25">
      <c r="A10" s="1">
        <f>IF(A9&lt;'Project Information'!B$11,A9+1,"")</f>
        <v>2032</v>
      </c>
      <c r="B10" s="7">
        <f>'Operations and Maintenance'!D12</f>
        <v>-4523309</v>
      </c>
      <c r="C10" s="7">
        <f>Safety!D26</f>
        <v>16374.997040322574</v>
      </c>
      <c r="D10" s="7">
        <f>'Travel Time Savings'!D24</f>
        <v>1698541.0050000001</v>
      </c>
      <c r="E10" s="7">
        <f>'Vehicle Operating Cost Savings'!D30</f>
        <v>6559162.7849999992</v>
      </c>
      <c r="F10" s="21">
        <f>'Emissions Reduction'!S37</f>
        <v>23990138.555</v>
      </c>
      <c r="G10" s="21">
        <f>'Emissions Reduction'!T37</f>
        <v>961037.69999999925</v>
      </c>
      <c r="H10" s="21">
        <v>0</v>
      </c>
      <c r="I10" s="7">
        <f>'Amenity Benefits'!B15</f>
        <v>0</v>
      </c>
      <c r="J10" s="7">
        <f>'Health Benefits'!B19</f>
        <v>0</v>
      </c>
      <c r="K10" s="7">
        <f>'Residual Value'!B27</f>
        <v>0</v>
      </c>
      <c r="L10" s="7">
        <f>'Other Benefit 1'!B12</f>
        <v>0</v>
      </c>
      <c r="M10" s="7">
        <f>'Other Benefit 2'!B12</f>
        <v>0</v>
      </c>
      <c r="N10" s="7">
        <f>'Other Benefit 3'!B12</f>
        <v>0</v>
      </c>
      <c r="O10" s="7">
        <f>'Other Benefit 4'!B16</f>
        <v>0</v>
      </c>
      <c r="P10" s="153">
        <f t="shared" si="0"/>
        <v>37748564.042040318</v>
      </c>
      <c r="Q10" s="8">
        <f>IFERROR(((P10-G10)/(1.031)^(A10-Overview!$B$22))+((G10)/(1.02)^(A10-Overview!$B$22)),0)</f>
        <v>27897412.839020763</v>
      </c>
      <c r="R10" s="368"/>
    </row>
    <row r="11" spans="1:21" x14ac:dyDescent="0.25">
      <c r="A11" s="1">
        <f>IF(A10&lt;'Project Information'!B$11,A10+1,"")</f>
        <v>2033</v>
      </c>
      <c r="B11" s="7">
        <f>'Operations and Maintenance'!D13</f>
        <v>-4523309</v>
      </c>
      <c r="C11" s="7">
        <f>Safety!D27</f>
        <v>16374.997040322574</v>
      </c>
      <c r="D11" s="7">
        <f>'Travel Time Savings'!D30</f>
        <v>1698541.0050000001</v>
      </c>
      <c r="E11" s="7">
        <f>'Vehicle Operating Cost Savings'!D31</f>
        <v>6559162.7849999992</v>
      </c>
      <c r="F11" s="21">
        <f>'Emissions Reduction'!S38</f>
        <v>23990138.555</v>
      </c>
      <c r="G11" s="21">
        <f>'Emissions Reduction'!T38</f>
        <v>961037.69999999925</v>
      </c>
      <c r="H11" s="21">
        <v>0</v>
      </c>
      <c r="I11" s="7">
        <f>'Amenity Benefits'!B16</f>
        <v>0</v>
      </c>
      <c r="J11" s="7">
        <f>'Health Benefits'!B20</f>
        <v>0</v>
      </c>
      <c r="K11" s="7">
        <f>'Residual Value'!B28</f>
        <v>0</v>
      </c>
      <c r="L11" s="7">
        <f>'Other Benefit 1'!B13</f>
        <v>0</v>
      </c>
      <c r="M11" s="7">
        <f>'Other Benefit 2'!B13</f>
        <v>0</v>
      </c>
      <c r="N11" s="7">
        <f>'Other Benefit 3'!B13</f>
        <v>0</v>
      </c>
      <c r="O11" s="7">
        <f>'Other Benefit 4'!B17</f>
        <v>0</v>
      </c>
      <c r="P11" s="153">
        <f t="shared" si="0"/>
        <v>37748564.042040318</v>
      </c>
      <c r="Q11" s="8">
        <f>IFERROR(((P11-G11)/(1.031)^(A11-Overview!$B$22))+((G11)/(1.02)^(A11-Overview!$B$22)),0)</f>
        <v>27066842.907017361</v>
      </c>
      <c r="R11" s="368"/>
    </row>
    <row r="12" spans="1:21" x14ac:dyDescent="0.25">
      <c r="A12" s="1">
        <f>IF(A11&lt;'Project Information'!B$11,A11+1,"")</f>
        <v>2034</v>
      </c>
      <c r="B12" s="7">
        <f>'Operations and Maintenance'!D14</f>
        <v>-4523309</v>
      </c>
      <c r="C12" s="7">
        <f>Safety!D28</f>
        <v>16374.997040322574</v>
      </c>
      <c r="D12" s="7">
        <f>'Travel Time Savings'!D26</f>
        <v>1698541.0050000001</v>
      </c>
      <c r="E12" s="7">
        <f>'Vehicle Operating Cost Savings'!D32</f>
        <v>6559162.7849999992</v>
      </c>
      <c r="F12" s="21">
        <f>'Emissions Reduction'!S39</f>
        <v>23990138.555</v>
      </c>
      <c r="G12" s="21">
        <f>'Emissions Reduction'!T39</f>
        <v>961037.69999999925</v>
      </c>
      <c r="H12" s="21">
        <v>0</v>
      </c>
      <c r="I12" s="7">
        <f>'Amenity Benefits'!B17</f>
        <v>0</v>
      </c>
      <c r="J12" s="7">
        <f>'Health Benefits'!B21</f>
        <v>0</v>
      </c>
      <c r="K12" s="7">
        <f>'Residual Value'!B29</f>
        <v>0</v>
      </c>
      <c r="L12" s="7">
        <f>'Other Benefit 1'!B14</f>
        <v>0</v>
      </c>
      <c r="M12" s="7">
        <f>'Other Benefit 2'!B14</f>
        <v>0</v>
      </c>
      <c r="N12" s="7">
        <f>'Other Benefit 3'!B14</f>
        <v>0</v>
      </c>
      <c r="O12" s="7">
        <f>'Other Benefit 4'!B18</f>
        <v>0</v>
      </c>
      <c r="P12" s="153">
        <f t="shared" si="0"/>
        <v>37748564.042040318</v>
      </c>
      <c r="Q12" s="8">
        <f>IFERROR(((P12-G12)/(1.031)^(A12-Overview!$B$22))+((G12)/(1.02)^(A12-Overview!$B$22)),0)</f>
        <v>26261084.767569888</v>
      </c>
      <c r="R12" s="368"/>
    </row>
    <row r="13" spans="1:21" x14ac:dyDescent="0.25">
      <c r="A13" s="1">
        <f>IF(A12&lt;'Project Information'!B$11,A12+1,"")</f>
        <v>2035</v>
      </c>
      <c r="B13" s="7">
        <f>'Operations and Maintenance'!D15</f>
        <v>-4523309</v>
      </c>
      <c r="C13" s="7">
        <f>Safety!D29</f>
        <v>16374.997040322574</v>
      </c>
      <c r="D13" s="7">
        <f>'Travel Time Savings'!D27</f>
        <v>1698541.0050000001</v>
      </c>
      <c r="E13" s="7">
        <f>'Vehicle Operating Cost Savings'!D33</f>
        <v>6559162.7849999992</v>
      </c>
      <c r="F13" s="21">
        <f>'Emissions Reduction'!S40</f>
        <v>23990138.555</v>
      </c>
      <c r="G13" s="21">
        <f>'Emissions Reduction'!T40</f>
        <v>961037.69999999925</v>
      </c>
      <c r="H13" s="21">
        <v>0</v>
      </c>
      <c r="I13" s="7">
        <f>'Amenity Benefits'!B18</f>
        <v>0</v>
      </c>
      <c r="J13" s="7">
        <f>'Health Benefits'!B22</f>
        <v>0</v>
      </c>
      <c r="K13" s="7">
        <f>'Residual Value'!B30</f>
        <v>0</v>
      </c>
      <c r="L13" s="7">
        <f>'Other Benefit 1'!B15</f>
        <v>0</v>
      </c>
      <c r="M13" s="7">
        <f>'Other Benefit 2'!B15</f>
        <v>0</v>
      </c>
      <c r="N13" s="7">
        <f>'Other Benefit 3'!B15</f>
        <v>0</v>
      </c>
      <c r="O13" s="7">
        <f>'Other Benefit 4'!B19</f>
        <v>0</v>
      </c>
      <c r="P13" s="153">
        <f t="shared" si="0"/>
        <v>37748564.042040318</v>
      </c>
      <c r="Q13" s="8">
        <f>IFERROR(((P13-G13)/(1.031)^(A13-Overview!$B$22))+((G13)/(1.02)^(A13-Overview!$B$22)),0)</f>
        <v>25479395.552831326</v>
      </c>
      <c r="R13" s="368"/>
    </row>
    <row r="14" spans="1:21" x14ac:dyDescent="0.25">
      <c r="A14" s="1">
        <f>IF(A13&lt;'Project Information'!B$11,A13+1,"")</f>
        <v>2036</v>
      </c>
      <c r="B14" s="7">
        <f>'Operations and Maintenance'!D16</f>
        <v>-4523309</v>
      </c>
      <c r="C14" s="7">
        <f>Safety!D30</f>
        <v>16374.997040322574</v>
      </c>
      <c r="D14" s="7">
        <f>'Travel Time Savings'!D28</f>
        <v>1698541.0050000001</v>
      </c>
      <c r="E14" s="7">
        <f>'Vehicle Operating Cost Savings'!D34</f>
        <v>6559162.7849999992</v>
      </c>
      <c r="F14" s="21">
        <f>'Emissions Reduction'!S41</f>
        <v>23990138.555</v>
      </c>
      <c r="G14" s="21">
        <f>'Emissions Reduction'!T41</f>
        <v>961037.69999999925</v>
      </c>
      <c r="H14" s="21">
        <v>0</v>
      </c>
      <c r="I14" s="7">
        <f>'Amenity Benefits'!B19</f>
        <v>0</v>
      </c>
      <c r="J14" s="7">
        <f>'Health Benefits'!B23</f>
        <v>0</v>
      </c>
      <c r="K14" s="7">
        <f>'Residual Value'!B31</f>
        <v>0</v>
      </c>
      <c r="L14" s="7">
        <f>'Other Benefit 1'!B16</f>
        <v>0</v>
      </c>
      <c r="M14" s="7">
        <f>'Other Benefit 2'!B16</f>
        <v>0</v>
      </c>
      <c r="N14" s="7">
        <f>'Other Benefit 3'!B16</f>
        <v>0</v>
      </c>
      <c r="O14" s="7">
        <f>'Other Benefit 4'!B20</f>
        <v>0</v>
      </c>
      <c r="P14" s="153">
        <f t="shared" si="0"/>
        <v>37748564.042040318</v>
      </c>
      <c r="Q14" s="8">
        <f>IFERROR(((P14-G14)/(1.031)^(A14-Overview!$B$22))+((G14)/(1.02)^(A14-Overview!$B$22)),0)</f>
        <v>24721054.669259969</v>
      </c>
    </row>
    <row r="15" spans="1:21" x14ac:dyDescent="0.25">
      <c r="A15" s="1">
        <f>IF(A14&lt;'Project Information'!B$11,A14+1,"")</f>
        <v>2037</v>
      </c>
      <c r="B15" s="7">
        <f>'Operations and Maintenance'!D17</f>
        <v>-4523309</v>
      </c>
      <c r="C15" s="7">
        <f>Safety!D31</f>
        <v>16374.997040322574</v>
      </c>
      <c r="D15" s="7">
        <f>'Travel Time Savings'!D29</f>
        <v>1698541.0050000001</v>
      </c>
      <c r="E15" s="7">
        <f>'Vehicle Operating Cost Savings'!D35</f>
        <v>6559162.7849999992</v>
      </c>
      <c r="F15" s="21">
        <f>'Emissions Reduction'!S42</f>
        <v>23990138.555</v>
      </c>
      <c r="G15" s="21">
        <f>'Emissions Reduction'!T42</f>
        <v>961037.69999999925</v>
      </c>
      <c r="H15" s="21">
        <v>0</v>
      </c>
      <c r="I15" s="7">
        <f>'Amenity Benefits'!B20</f>
        <v>0</v>
      </c>
      <c r="J15" s="7">
        <f>'Health Benefits'!B24</f>
        <v>0</v>
      </c>
      <c r="K15" s="7">
        <f>'Residual Value'!B32</f>
        <v>0</v>
      </c>
      <c r="L15" s="7">
        <f>'Other Benefit 1'!B17</f>
        <v>0</v>
      </c>
      <c r="M15" s="7">
        <f>'Other Benefit 2'!B17</f>
        <v>0</v>
      </c>
      <c r="N15" s="7">
        <f>'Other Benefit 3'!B17</f>
        <v>0</v>
      </c>
      <c r="O15" s="7">
        <f>'Other Benefit 4'!B21</f>
        <v>0</v>
      </c>
      <c r="P15" s="153">
        <f t="shared" si="0"/>
        <v>37748564.042040318</v>
      </c>
      <c r="Q15" s="8">
        <f>IFERROR(((P15-G15)/(1.031)^(A15-Overview!$B$22))+((G15)/(1.02)^(A15-Overview!$B$22)),0)</f>
        <v>23985363.129096884</v>
      </c>
    </row>
    <row r="16" spans="1:21" x14ac:dyDescent="0.25">
      <c r="A16" s="1">
        <f>IF(A15&lt;'Project Information'!B$11,A15+1,"")</f>
        <v>2038</v>
      </c>
      <c r="B16" s="7">
        <f>'Operations and Maintenance'!D18</f>
        <v>-4597707</v>
      </c>
      <c r="C16" s="7">
        <f>Safety!D32</f>
        <v>16374.997040322574</v>
      </c>
      <c r="D16" s="7">
        <f>'Travel Time Savings'!D30</f>
        <v>1698541.0050000001</v>
      </c>
      <c r="E16" s="7">
        <f>'Vehicle Operating Cost Savings'!D36</f>
        <v>6559162.7849999992</v>
      </c>
      <c r="F16" s="21">
        <f>'Emissions Reduction'!S43</f>
        <v>23990138.555</v>
      </c>
      <c r="G16" s="21">
        <f>'Emissions Reduction'!T43</f>
        <v>961037.69999999925</v>
      </c>
      <c r="H16" s="21">
        <v>0</v>
      </c>
      <c r="I16" s="7">
        <f>'Amenity Benefits'!B21</f>
        <v>0</v>
      </c>
      <c r="J16" s="7">
        <f>'Health Benefits'!B30</f>
        <v>0</v>
      </c>
      <c r="K16" s="7">
        <f>'Residual Value'!B33</f>
        <v>0</v>
      </c>
      <c r="L16" s="7">
        <f>'Other Benefit 1'!B18</f>
        <v>0</v>
      </c>
      <c r="M16" s="7">
        <f>'Other Benefit 2'!B18</f>
        <v>0</v>
      </c>
      <c r="N16" s="7">
        <f>'Other Benefit 3'!B18</f>
        <v>0</v>
      </c>
      <c r="O16" s="7">
        <f>'Other Benefit 4'!B22</f>
        <v>0</v>
      </c>
      <c r="P16" s="153">
        <f t="shared" si="0"/>
        <v>37822962.042040318</v>
      </c>
      <c r="Q16" s="8">
        <f>IFERROR(((P16-G16)/(1.031)^(A16-Overview!$B$22))+((G16)/(1.02)^(A16-Overview!$B$22)),0)</f>
        <v>23317290.992519595</v>
      </c>
    </row>
    <row r="17" spans="1:17" x14ac:dyDescent="0.25">
      <c r="A17" s="1">
        <f>IF(A16&lt;'Project Information'!B$11,A16+1,"")</f>
        <v>2039</v>
      </c>
      <c r="B17" s="7">
        <f>'Operations and Maintenance'!D19</f>
        <v>-4597707</v>
      </c>
      <c r="C17" s="7">
        <f>Safety!D33</f>
        <v>16374.997040322574</v>
      </c>
      <c r="D17" s="7">
        <f>'Travel Time Savings'!D31</f>
        <v>1698541.0050000001</v>
      </c>
      <c r="E17" s="7">
        <f>'Vehicle Operating Cost Savings'!D37</f>
        <v>6559162.7849999992</v>
      </c>
      <c r="F17" s="21">
        <f>'Emissions Reduction'!S44</f>
        <v>23990138.555</v>
      </c>
      <c r="G17" s="21">
        <f>'Emissions Reduction'!T44</f>
        <v>961037.69999999925</v>
      </c>
      <c r="H17" s="21">
        <v>0</v>
      </c>
      <c r="I17" s="7">
        <f>'Amenity Benefits'!B22</f>
        <v>0</v>
      </c>
      <c r="J17" s="7">
        <f>'Health Benefits'!B26</f>
        <v>0</v>
      </c>
      <c r="K17" s="7">
        <f>'Residual Value'!B34</f>
        <v>0</v>
      </c>
      <c r="L17" s="7">
        <f>'Other Benefit 1'!B19</f>
        <v>0</v>
      </c>
      <c r="M17" s="7">
        <f>'Other Benefit 2'!B19</f>
        <v>0</v>
      </c>
      <c r="N17" s="7">
        <f>'Other Benefit 3'!B19</f>
        <v>0</v>
      </c>
      <c r="O17" s="7">
        <f>'Other Benefit 4'!B23</f>
        <v>0</v>
      </c>
      <c r="P17" s="153">
        <f t="shared" si="0"/>
        <v>37822962.042040318</v>
      </c>
      <c r="Q17" s="8">
        <f>IFERROR(((P17-G17)/(1.031)^(A17-Overview!$B$22))+((G17)/(1.02)^(A17-Overview!$B$22)),0)</f>
        <v>22623511.834268309</v>
      </c>
    </row>
    <row r="18" spans="1:17" x14ac:dyDescent="0.25">
      <c r="A18" s="1">
        <f>IF(A17&lt;'Project Information'!B$11,A17+1,"")</f>
        <v>2040</v>
      </c>
      <c r="B18" s="7">
        <f>'Operations and Maintenance'!D20</f>
        <v>-4597707</v>
      </c>
      <c r="C18" s="7">
        <f>Safety!D34</f>
        <v>16374.997040322574</v>
      </c>
      <c r="D18" s="7">
        <f>'Travel Time Savings'!D32</f>
        <v>1698541.0050000001</v>
      </c>
      <c r="E18" s="7">
        <f>'Vehicle Operating Cost Savings'!D38</f>
        <v>6559162.7849999992</v>
      </c>
      <c r="F18" s="21">
        <f>'Emissions Reduction'!S45</f>
        <v>23990138.555</v>
      </c>
      <c r="G18" s="21">
        <f>'Emissions Reduction'!T45</f>
        <v>961037.69999999925</v>
      </c>
      <c r="H18" s="21">
        <v>0</v>
      </c>
      <c r="I18" s="7">
        <f>'Amenity Benefits'!B23</f>
        <v>0</v>
      </c>
      <c r="J18" s="7">
        <f>'Health Benefits'!B27</f>
        <v>0</v>
      </c>
      <c r="K18" s="7">
        <f>'Residual Value'!B35</f>
        <v>0</v>
      </c>
      <c r="L18" s="7">
        <f>'Other Benefit 1'!B20</f>
        <v>0</v>
      </c>
      <c r="M18" s="7">
        <f>'Other Benefit 2'!B20</f>
        <v>0</v>
      </c>
      <c r="N18" s="7">
        <f>'Other Benefit 3'!B20</f>
        <v>0</v>
      </c>
      <c r="O18" s="7">
        <f>'Other Benefit 4'!B24</f>
        <v>0</v>
      </c>
      <c r="P18" s="153">
        <f t="shared" si="0"/>
        <v>37822962.042040318</v>
      </c>
      <c r="Q18" s="8">
        <f>IFERROR(((P18-G18)/(1.031)^(A18-Overview!$B$22))+((G18)/(1.02)^(A18-Overview!$B$22)),0)</f>
        <v>21950449.572625767</v>
      </c>
    </row>
    <row r="19" spans="1:17" x14ac:dyDescent="0.25">
      <c r="A19" s="1">
        <f>IF(A18&lt;'Project Information'!B$11,A18+1,"")</f>
        <v>2041</v>
      </c>
      <c r="B19" s="7">
        <f>'Operations and Maintenance'!D21</f>
        <v>-4597707</v>
      </c>
      <c r="C19" s="7">
        <f>Safety!D35</f>
        <v>16374.997040322574</v>
      </c>
      <c r="D19" s="7">
        <f>'Travel Time Savings'!D33</f>
        <v>1698541.0050000001</v>
      </c>
      <c r="E19" s="7">
        <f>'Vehicle Operating Cost Savings'!D39</f>
        <v>6559162.7849999992</v>
      </c>
      <c r="F19" s="21">
        <f>'Emissions Reduction'!S46</f>
        <v>23990138.555</v>
      </c>
      <c r="G19" s="21">
        <f>'Emissions Reduction'!T46</f>
        <v>961037.69999999925</v>
      </c>
      <c r="H19" s="21">
        <v>0</v>
      </c>
      <c r="I19" s="7">
        <f>'Amenity Benefits'!B24</f>
        <v>0</v>
      </c>
      <c r="J19" s="7">
        <f>'Health Benefits'!B28</f>
        <v>0</v>
      </c>
      <c r="K19" s="7">
        <f>'Residual Value'!B36</f>
        <v>0</v>
      </c>
      <c r="L19" s="7">
        <f>'Other Benefit 1'!B21</f>
        <v>0</v>
      </c>
      <c r="M19" s="7">
        <f>'Other Benefit 2'!B21</f>
        <v>0</v>
      </c>
      <c r="N19" s="7">
        <f>'Other Benefit 3'!B21</f>
        <v>0</v>
      </c>
      <c r="O19" s="7">
        <f>'Other Benefit 4'!B30</f>
        <v>0</v>
      </c>
      <c r="P19" s="153">
        <f t="shared" si="0"/>
        <v>37822962.042040318</v>
      </c>
      <c r="Q19" s="8">
        <f>IFERROR(((P19-G19)/(1.031)^(A19-Overview!$B$22))+((G19)/(1.02)^(A19-Overview!$B$22)),0)</f>
        <v>21297484.109456971</v>
      </c>
    </row>
    <row r="20" spans="1:17" x14ac:dyDescent="0.25">
      <c r="A20" s="1">
        <f>IF(A19&lt;'Project Information'!B$11,A19+1,"")</f>
        <v>2042</v>
      </c>
      <c r="B20" s="7">
        <f>'Operations and Maintenance'!D22</f>
        <v>-4597707</v>
      </c>
      <c r="C20" s="7">
        <f>Safety!D36</f>
        <v>16374.997040322574</v>
      </c>
      <c r="D20" s="7">
        <f>'Travel Time Savings'!D34</f>
        <v>1698541.0050000001</v>
      </c>
      <c r="E20" s="7">
        <f>'Vehicle Operating Cost Savings'!D40</f>
        <v>6559162.7849999992</v>
      </c>
      <c r="F20" s="21">
        <f>'Emissions Reduction'!S47</f>
        <v>23990138.555</v>
      </c>
      <c r="G20" s="21">
        <f>'Emissions Reduction'!T47</f>
        <v>961037.69999999925</v>
      </c>
      <c r="H20" s="21">
        <v>0</v>
      </c>
      <c r="I20" s="7">
        <f>'Amenity Benefits'!B30</f>
        <v>0</v>
      </c>
      <c r="J20" s="7">
        <f>'Health Benefits'!B29</f>
        <v>0</v>
      </c>
      <c r="K20" s="7">
        <f>'Residual Value'!B37</f>
        <v>0</v>
      </c>
      <c r="L20" s="7">
        <f>'Other Benefit 1'!B22</f>
        <v>0</v>
      </c>
      <c r="M20" s="7">
        <f>'Other Benefit 2'!B22</f>
        <v>0</v>
      </c>
      <c r="N20" s="7">
        <f>'Other Benefit 3'!B22</f>
        <v>0</v>
      </c>
      <c r="O20" s="7">
        <f>'Other Benefit 4'!B26</f>
        <v>0</v>
      </c>
      <c r="P20" s="153">
        <f t="shared" si="0"/>
        <v>37822962.042040318</v>
      </c>
      <c r="Q20" s="8">
        <f>IFERROR(((P20-G20)/(1.031)^(A20-Overview!$B$22))+((G20)/(1.02)^(A20-Overview!$B$22)),0)</f>
        <v>20664013.936469901</v>
      </c>
    </row>
    <row r="21" spans="1:17" x14ac:dyDescent="0.25">
      <c r="A21" s="1">
        <f>IF(A20&lt;'Project Information'!B$11,A20+1,"")</f>
        <v>2043</v>
      </c>
      <c r="B21" s="7">
        <f>'Operations and Maintenance'!D23</f>
        <v>-4597707</v>
      </c>
      <c r="C21" s="7">
        <f>Safety!D37</f>
        <v>16374.997040322574</v>
      </c>
      <c r="D21" s="7">
        <f>'Travel Time Savings'!D35</f>
        <v>1698541.0050000001</v>
      </c>
      <c r="E21" s="7">
        <f>'Vehicle Operating Cost Savings'!D41</f>
        <v>6559162.7849999992</v>
      </c>
      <c r="F21" s="21">
        <f>'Emissions Reduction'!S48</f>
        <v>23990138.555</v>
      </c>
      <c r="G21" s="21">
        <f>'Emissions Reduction'!T48</f>
        <v>961037.69999999925</v>
      </c>
      <c r="H21" s="21">
        <v>0</v>
      </c>
      <c r="I21" s="7">
        <f>'Amenity Benefits'!B26</f>
        <v>0</v>
      </c>
      <c r="J21" s="7">
        <f>'Health Benefits'!B30</f>
        <v>0</v>
      </c>
      <c r="K21" s="7">
        <f>'Residual Value'!B38</f>
        <v>0</v>
      </c>
      <c r="L21" s="7">
        <f>'Other Benefit 1'!B23</f>
        <v>0</v>
      </c>
      <c r="M21" s="7">
        <f>'Other Benefit 2'!B23</f>
        <v>0</v>
      </c>
      <c r="N21" s="7">
        <f>'Other Benefit 3'!B23</f>
        <v>0</v>
      </c>
      <c r="O21" s="7">
        <f>'Other Benefit 4'!B27</f>
        <v>0</v>
      </c>
      <c r="P21" s="153">
        <f t="shared" si="0"/>
        <v>37822962.042040318</v>
      </c>
      <c r="Q21" s="8">
        <f>IFERROR(((P21-G21)/(1.031)^(A21-Overview!$B$22))+((G21)/(1.02)^(A21-Overview!$B$22)),0)</f>
        <v>20049455.577340484</v>
      </c>
    </row>
    <row r="22" spans="1:17" x14ac:dyDescent="0.25">
      <c r="A22" s="1">
        <f>IF(A21&lt;'Project Information'!B$11,A21+1,"")</f>
        <v>2044</v>
      </c>
      <c r="B22" s="7">
        <f>'Operations and Maintenance'!D24</f>
        <v>-4597707</v>
      </c>
      <c r="C22" s="7">
        <f>Safety!D38</f>
        <v>16374.997040322574</v>
      </c>
      <c r="D22" s="7">
        <f>'Travel Time Savings'!D36</f>
        <v>1698541.0050000001</v>
      </c>
      <c r="E22" s="7">
        <f>'Vehicle Operating Cost Savings'!D42</f>
        <v>6559162.7849999992</v>
      </c>
      <c r="F22" s="21">
        <f>'Emissions Reduction'!S49</f>
        <v>23990138.555</v>
      </c>
      <c r="G22" s="21">
        <f>'Emissions Reduction'!T49</f>
        <v>961037.69999999925</v>
      </c>
      <c r="H22" s="21">
        <v>0</v>
      </c>
      <c r="I22" s="7">
        <f>'Amenity Benefits'!B27</f>
        <v>0</v>
      </c>
      <c r="J22" s="7">
        <f>'Health Benefits'!B31</f>
        <v>0</v>
      </c>
      <c r="K22" s="7">
        <f>'Residual Value'!B39</f>
        <v>0</v>
      </c>
      <c r="L22" s="7">
        <f>'Other Benefit 1'!B24</f>
        <v>0</v>
      </c>
      <c r="M22" s="7">
        <f>'Other Benefit 2'!B24</f>
        <v>0</v>
      </c>
      <c r="N22" s="7">
        <f>'Other Benefit 3'!B24</f>
        <v>0</v>
      </c>
      <c r="O22" s="7">
        <f>'Other Benefit 4'!B28</f>
        <v>0</v>
      </c>
      <c r="P22" s="153">
        <f t="shared" si="0"/>
        <v>37822962.042040318</v>
      </c>
      <c r="Q22" s="8">
        <f>IFERROR(((P22-G22)/(1.031)^(A22-Overview!$B$22))+((G22)/(1.02)^(A22-Overview!$B$22)),0)</f>
        <v>19453243.046590429</v>
      </c>
    </row>
    <row r="23" spans="1:17" x14ac:dyDescent="0.25">
      <c r="A23" s="1">
        <f>IF(A22&lt;'Project Information'!B$11,A22+1,"")</f>
        <v>2045</v>
      </c>
      <c r="B23" s="7">
        <f>'Operations and Maintenance'!D30</f>
        <v>-3572595</v>
      </c>
      <c r="C23" s="7">
        <f>Safety!D39</f>
        <v>16374.997040322574</v>
      </c>
      <c r="D23" s="7">
        <f>'Travel Time Savings'!D37</f>
        <v>1698541.0050000001</v>
      </c>
      <c r="E23" s="7">
        <f>'Vehicle Operating Cost Savings'!D43</f>
        <v>6559162.7849999992</v>
      </c>
      <c r="F23" s="21">
        <f>'Emissions Reduction'!S50</f>
        <v>23990138.555</v>
      </c>
      <c r="G23" s="21">
        <f>'Emissions Reduction'!T50</f>
        <v>961037.69999999925</v>
      </c>
      <c r="H23" s="21">
        <v>0</v>
      </c>
      <c r="I23" s="7">
        <f>'Amenity Benefits'!B28</f>
        <v>0</v>
      </c>
      <c r="J23" s="7">
        <f>'Health Benefits'!B32</f>
        <v>0</v>
      </c>
      <c r="K23" s="7">
        <f>'Residual Value'!B40</f>
        <v>0</v>
      </c>
      <c r="L23" s="7">
        <f>'Other Benefit 1'!B30</f>
        <v>0</v>
      </c>
      <c r="M23" s="7">
        <f>'Other Benefit 2'!B30</f>
        <v>0</v>
      </c>
      <c r="N23" s="7">
        <f>'Other Benefit 3'!B30</f>
        <v>0</v>
      </c>
      <c r="O23" s="7">
        <f>'Other Benefit 4'!B29</f>
        <v>0</v>
      </c>
      <c r="P23" s="153">
        <f t="shared" si="0"/>
        <v>36797850.042040318</v>
      </c>
      <c r="Q23" s="8">
        <f>IFERROR(((P23-G23)/(1.031)^(A23-Overview!$B$22))+((G23)/(1.02)^(A23-Overview!$B$22)),0)</f>
        <v>18366876.09519111</v>
      </c>
    </row>
    <row r="24" spans="1:17" x14ac:dyDescent="0.25">
      <c r="A24" s="1">
        <f>IF(A23&lt;'Project Information'!B$11,A23+1,"")</f>
        <v>2046</v>
      </c>
      <c r="B24" s="7">
        <f>'Operations and Maintenance'!D26</f>
        <v>-4597707</v>
      </c>
      <c r="C24" s="7">
        <f>Safety!D40</f>
        <v>16374.997040322574</v>
      </c>
      <c r="D24" s="7">
        <f>'Travel Time Savings'!D38</f>
        <v>1698541.0050000001</v>
      </c>
      <c r="E24" s="7">
        <f>'Vehicle Operating Cost Savings'!D44</f>
        <v>6559162.7849999992</v>
      </c>
      <c r="F24" s="21">
        <f>'Emissions Reduction'!S51</f>
        <v>23990138.555</v>
      </c>
      <c r="G24" s="21">
        <f>'Emissions Reduction'!T51</f>
        <v>961037.69999999925</v>
      </c>
      <c r="H24" s="21">
        <v>0</v>
      </c>
      <c r="I24" s="7">
        <f>'Amenity Benefits'!B29</f>
        <v>0</v>
      </c>
      <c r="J24" s="7">
        <f>'Health Benefits'!B33</f>
        <v>0</v>
      </c>
      <c r="K24" s="7">
        <f>'Residual Value'!B41</f>
        <v>0</v>
      </c>
      <c r="L24" s="7">
        <f>'Other Benefit 1'!B26</f>
        <v>0</v>
      </c>
      <c r="M24" s="7">
        <f>'Other Benefit 2'!B26</f>
        <v>0</v>
      </c>
      <c r="N24" s="7">
        <f>'Other Benefit 3'!B26</f>
        <v>0</v>
      </c>
      <c r="O24" s="7">
        <f>'Other Benefit 4'!B30</f>
        <v>0</v>
      </c>
      <c r="P24" s="153">
        <f t="shared" si="0"/>
        <v>37822962.042040318</v>
      </c>
      <c r="Q24" s="8">
        <f>IFERROR(((P24-G24)/(1.031)^(A24-Overview!$B$22))+((G24)/(1.02)^(A24-Overview!$B$22)),0)</f>
        <v>18313675.849070437</v>
      </c>
    </row>
    <row r="25" spans="1:17" x14ac:dyDescent="0.25">
      <c r="A25" s="1">
        <f>IF(A24&lt;'Project Information'!B$11,A24+1,"")</f>
        <v>2047</v>
      </c>
      <c r="B25" s="7">
        <f>'Operations and Maintenance'!D27</f>
        <v>-4597707</v>
      </c>
      <c r="C25" s="7">
        <f>Safety!D41</f>
        <v>16374.997040322574</v>
      </c>
      <c r="D25" s="7">
        <f>'Travel Time Savings'!D39</f>
        <v>1698541.0050000001</v>
      </c>
      <c r="E25" s="7">
        <f>'Vehicle Operating Cost Savings'!D45</f>
        <v>6559162.7849999992</v>
      </c>
      <c r="F25" s="21">
        <f>'Emissions Reduction'!S52</f>
        <v>23990138.555</v>
      </c>
      <c r="G25" s="21">
        <f>'Emissions Reduction'!T52</f>
        <v>961037.69999999925</v>
      </c>
      <c r="H25" s="21">
        <v>0</v>
      </c>
      <c r="I25" s="7">
        <f>'Amenity Benefits'!B30</f>
        <v>0</v>
      </c>
      <c r="J25" s="7">
        <f>'Health Benefits'!B34</f>
        <v>0</v>
      </c>
      <c r="K25" s="7">
        <f>'Residual Value'!B42</f>
        <v>0</v>
      </c>
      <c r="L25" s="7">
        <f>'Other Benefit 1'!B27</f>
        <v>0</v>
      </c>
      <c r="M25" s="7">
        <f>'Other Benefit 2'!B27</f>
        <v>0</v>
      </c>
      <c r="N25" s="7">
        <f>'Other Benefit 3'!B27</f>
        <v>0</v>
      </c>
      <c r="O25" s="7">
        <f>'Other Benefit 4'!B31</f>
        <v>0</v>
      </c>
      <c r="P25" s="153">
        <f t="shared" si="0"/>
        <v>37822962.042040318</v>
      </c>
      <c r="Q25" s="8">
        <f>IFERROR(((P25-G25)/(1.031)^(A25-Overview!$B$22))+((G25)/(1.02)^(A25-Overview!$B$22)),0)</f>
        <v>17769272.02005358</v>
      </c>
    </row>
    <row r="26" spans="1:17" x14ac:dyDescent="0.25">
      <c r="A26" s="1">
        <f>IF(A25&lt;'Project Information'!B$11,A25+1,"")</f>
        <v>2048</v>
      </c>
      <c r="B26" s="7">
        <f>'Operations and Maintenance'!D28</f>
        <v>-3572595</v>
      </c>
      <c r="C26" s="7">
        <f>Safety!D42</f>
        <v>16374.997040322574</v>
      </c>
      <c r="D26" s="7">
        <f>'Travel Time Savings'!D40</f>
        <v>1698541.0050000001</v>
      </c>
      <c r="E26" s="7">
        <f>'Vehicle Operating Cost Savings'!D46</f>
        <v>6559162.7849999992</v>
      </c>
      <c r="F26" s="21">
        <f>'Emissions Reduction'!S53</f>
        <v>23990138.555</v>
      </c>
      <c r="G26" s="21">
        <f>'Emissions Reduction'!T53</f>
        <v>961037.69999999925</v>
      </c>
      <c r="H26" s="21">
        <v>0</v>
      </c>
      <c r="I26" s="7">
        <f>'Amenity Benefits'!B31</f>
        <v>0</v>
      </c>
      <c r="J26" s="7">
        <f>'Health Benefits'!B35</f>
        <v>0</v>
      </c>
      <c r="K26" s="7">
        <f>'Residual Value'!B43</f>
        <v>0</v>
      </c>
      <c r="L26" s="7">
        <f>'Other Benefit 1'!B28</f>
        <v>0</v>
      </c>
      <c r="M26" s="7">
        <f>'Other Benefit 2'!B28</f>
        <v>0</v>
      </c>
      <c r="N26" s="7">
        <f>'Other Benefit 3'!B28</f>
        <v>0</v>
      </c>
      <c r="O26" s="7">
        <f>'Other Benefit 4'!B32</f>
        <v>0</v>
      </c>
      <c r="P26" s="153">
        <f t="shared" si="0"/>
        <v>36797850.042040318</v>
      </c>
      <c r="Q26" s="8">
        <f>IFERROR(((P26-G26)/(1.031)^(A26-Overview!$B$22))+((G26)/(1.02)^(A26-Overview!$B$22)),0)</f>
        <v>16777618.690581609</v>
      </c>
    </row>
    <row r="27" spans="1:17" x14ac:dyDescent="0.25">
      <c r="A27" s="1">
        <f>IF(A26&lt;'Project Information'!B$11,A26+1,"")</f>
        <v>2049</v>
      </c>
      <c r="B27" s="7">
        <f>'Operations and Maintenance'!D29</f>
        <v>-3572595</v>
      </c>
      <c r="C27" s="7">
        <f>Safety!D43</f>
        <v>16374.997040322574</v>
      </c>
      <c r="D27" s="7">
        <f>'Travel Time Savings'!D41</f>
        <v>1698541.0050000001</v>
      </c>
      <c r="E27" s="7">
        <f>'Vehicle Operating Cost Savings'!D47</f>
        <v>6559162.7849999992</v>
      </c>
      <c r="F27" s="21">
        <f>'Emissions Reduction'!S54</f>
        <v>23990138.555</v>
      </c>
      <c r="G27" s="21">
        <f>'Emissions Reduction'!T54</f>
        <v>961037.69999999925</v>
      </c>
      <c r="H27" s="21">
        <v>0</v>
      </c>
      <c r="I27" s="7">
        <f>'Amenity Benefits'!B32</f>
        <v>0</v>
      </c>
      <c r="J27" s="7">
        <f>'Health Benefits'!B36</f>
        <v>0</v>
      </c>
      <c r="K27" s="7">
        <f>'Residual Value'!B44</f>
        <v>0</v>
      </c>
      <c r="L27" s="7">
        <f>'Other Benefit 1'!B29</f>
        <v>0</v>
      </c>
      <c r="M27" s="7">
        <f>'Other Benefit 2'!B29</f>
        <v>0</v>
      </c>
      <c r="N27" s="7">
        <f>'Other Benefit 3'!B29</f>
        <v>0</v>
      </c>
      <c r="O27" s="7">
        <f>'Other Benefit 4'!B33</f>
        <v>0</v>
      </c>
      <c r="P27" s="153">
        <f t="shared" si="0"/>
        <v>36797850.042040318</v>
      </c>
      <c r="Q27" s="8">
        <f>IFERROR(((P27-G27)/(1.031)^(A27-Overview!$B$22))+((G27)/(1.02)^(A27-Overview!$B$22)),0)</f>
        <v>16279158.177696623</v>
      </c>
    </row>
    <row r="28" spans="1:17" x14ac:dyDescent="0.25">
      <c r="A28" s="1">
        <f>IF(A27&lt;'Project Information'!B$11,A27+1,"")</f>
        <v>2050</v>
      </c>
      <c r="B28" s="7">
        <f>'Operations and Maintenance'!D30</f>
        <v>-3572595</v>
      </c>
      <c r="C28" s="7">
        <f>Safety!D44</f>
        <v>16374.997040322574</v>
      </c>
      <c r="D28" s="7">
        <f>'Travel Time Savings'!D42</f>
        <v>1698541.0050000001</v>
      </c>
      <c r="E28" s="7">
        <f>'Vehicle Operating Cost Savings'!D48</f>
        <v>6559162.7849999992</v>
      </c>
      <c r="F28" s="21">
        <f>'Emissions Reduction'!S55</f>
        <v>23990138.555</v>
      </c>
      <c r="G28" s="21">
        <f>'Emissions Reduction'!T55</f>
        <v>961037.69999999925</v>
      </c>
      <c r="H28" s="21">
        <v>0</v>
      </c>
      <c r="I28" s="7">
        <f>'Amenity Benefits'!B33</f>
        <v>0</v>
      </c>
      <c r="J28" s="7">
        <f>'Health Benefits'!B37</f>
        <v>0</v>
      </c>
      <c r="K28" s="7">
        <f>'Residual Value'!B45</f>
        <v>0</v>
      </c>
      <c r="L28" s="7">
        <f>'Other Benefit 1'!B30</f>
        <v>0</v>
      </c>
      <c r="M28" s="7">
        <f>'Other Benefit 2'!B30</f>
        <v>0</v>
      </c>
      <c r="N28" s="7">
        <f>'Other Benefit 3'!B30</f>
        <v>0</v>
      </c>
      <c r="O28" s="7">
        <f>'Other Benefit 4'!B34</f>
        <v>0</v>
      </c>
      <c r="P28" s="153">
        <f t="shared" si="0"/>
        <v>36797850.042040318</v>
      </c>
      <c r="Q28" s="8">
        <f>IFERROR(((P28-G28)/(1.031)^(A28-Overview!$B$22))+((G28)/(1.02)^(A28-Overview!$B$22)),0)</f>
        <v>15795567.53568225</v>
      </c>
    </row>
    <row r="29" spans="1:17" x14ac:dyDescent="0.25">
      <c r="A29" s="1">
        <f>IF(A28&lt;'Project Information'!B$11,A28+1,"")</f>
        <v>2051</v>
      </c>
      <c r="B29" s="7">
        <f>'Operations and Maintenance'!D31</f>
        <v>-3572595</v>
      </c>
      <c r="C29" s="7">
        <f>Safety!D45</f>
        <v>16374.997040322574</v>
      </c>
      <c r="D29" s="7">
        <f>'Travel Time Savings'!D43</f>
        <v>1698541.0050000001</v>
      </c>
      <c r="E29" s="7">
        <f>'Vehicle Operating Cost Savings'!D49</f>
        <v>6559162.7849999992</v>
      </c>
      <c r="F29" s="21">
        <f>'Emissions Reduction'!S56</f>
        <v>23990138.555</v>
      </c>
      <c r="G29" s="21">
        <f>'Emissions Reduction'!T56</f>
        <v>961037.69999999925</v>
      </c>
      <c r="H29" s="21">
        <v>0</v>
      </c>
      <c r="I29" s="7">
        <f>'Amenity Benefits'!B34</f>
        <v>0</v>
      </c>
      <c r="J29" s="7">
        <f>'Health Benefits'!B38</f>
        <v>0</v>
      </c>
      <c r="K29" s="7">
        <f>'Residual Value'!B46</f>
        <v>0</v>
      </c>
      <c r="L29" s="7">
        <f>'Other Benefit 1'!B31</f>
        <v>0</v>
      </c>
      <c r="M29" s="7">
        <f>'Other Benefit 2'!B31</f>
        <v>0</v>
      </c>
      <c r="N29" s="7">
        <f>'Other Benefit 3'!B31</f>
        <v>0</v>
      </c>
      <c r="O29" s="7">
        <f>'Other Benefit 4'!B35</f>
        <v>0</v>
      </c>
      <c r="P29" s="153">
        <f>SUM(C29:O29)-B29</f>
        <v>36797850.042040318</v>
      </c>
      <c r="Q29" s="8">
        <f>IFERROR(((P29-G29)/(1.031)^(A29-Overview!$B$22))+((G29)/(1.02)^(A29-Overview!$B$22)),0)</f>
        <v>15326401.968379902</v>
      </c>
    </row>
    <row r="30" spans="1:17" x14ac:dyDescent="0.25">
      <c r="A30" s="1">
        <f>IF(A29&lt;'Project Information'!B$11,A29+1,"")</f>
        <v>2052</v>
      </c>
      <c r="B30" s="7">
        <f>'Operations and Maintenance'!D32</f>
        <v>-3572595</v>
      </c>
      <c r="C30" s="7">
        <f>Safety!D46</f>
        <v>16374.997040322574</v>
      </c>
      <c r="D30" s="7">
        <f>'Travel Time Savings'!D44</f>
        <v>1698541.0050000001</v>
      </c>
      <c r="E30" s="7">
        <f>'Vehicle Operating Cost Savings'!D50</f>
        <v>6559162.7849999992</v>
      </c>
      <c r="F30" s="21">
        <f>'Emissions Reduction'!S57</f>
        <v>23990138.555</v>
      </c>
      <c r="G30" s="21">
        <f>'Emissions Reduction'!T57</f>
        <v>961037.69999999925</v>
      </c>
      <c r="H30" s="21">
        <v>0</v>
      </c>
      <c r="I30" s="7">
        <f>'Amenity Benefits'!B35</f>
        <v>0</v>
      </c>
      <c r="J30" s="7">
        <f>'Health Benefits'!B39</f>
        <v>0</v>
      </c>
      <c r="K30" s="7">
        <f>'Residual Value'!B47</f>
        <v>11106894.061646577</v>
      </c>
      <c r="L30" s="7">
        <f>'Other Benefit 1'!B32</f>
        <v>0</v>
      </c>
      <c r="M30" s="7">
        <f>'Other Benefit 2'!B32</f>
        <v>0</v>
      </c>
      <c r="N30" s="7">
        <f>'Other Benefit 3'!B32</f>
        <v>0</v>
      </c>
      <c r="O30" s="7">
        <f>'Other Benefit 4'!B36</f>
        <v>0</v>
      </c>
      <c r="P30" s="153">
        <f>SUM(C30:O30)-B30</f>
        <v>47904744.103686899</v>
      </c>
      <c r="Q30" s="8">
        <f>IFERROR(((P30-G30)/(1.031)^(A30-Overview!$B$22))+((G30)/(1.02)^(A30-Overview!$B$22)),0)</f>
        <v>19315829.897086866</v>
      </c>
    </row>
    <row r="31" spans="1:17" x14ac:dyDescent="0.25">
      <c r="A31" s="1" t="str">
        <f>IF(A30&lt;'Project Information'!B$11,A30+1,"")</f>
        <v/>
      </c>
      <c r="B31" s="7">
        <f>'Operations and Maintenance'!D33</f>
        <v>0</v>
      </c>
      <c r="C31" s="7">
        <f>Safety!D47</f>
        <v>0</v>
      </c>
      <c r="D31" s="7">
        <f>'Travel Time Savings'!D45</f>
        <v>0</v>
      </c>
      <c r="E31" s="7">
        <f>'Vehicle Operating Cost Savings'!D51</f>
        <v>0</v>
      </c>
      <c r="F31" s="21">
        <f>'Emissions Reduction'!S58</f>
        <v>0</v>
      </c>
      <c r="G31" s="21">
        <f>'Emissions Reduction'!T58</f>
        <v>0</v>
      </c>
      <c r="H31" s="21">
        <v>0</v>
      </c>
      <c r="I31" s="7">
        <f>'Amenity Benefits'!B36</f>
        <v>0</v>
      </c>
      <c r="J31" s="7">
        <f>'Health Benefits'!B40</f>
        <v>0</v>
      </c>
      <c r="K31" s="7">
        <f>'Residual Value'!B48</f>
        <v>0</v>
      </c>
      <c r="L31" s="7">
        <f>'Other Benefit 1'!B33</f>
        <v>0</v>
      </c>
      <c r="M31" s="7">
        <f>'Other Benefit 2'!B33</f>
        <v>0</v>
      </c>
      <c r="N31" s="7">
        <f>'Other Benefit 3'!B33</f>
        <v>0</v>
      </c>
      <c r="O31" s="7">
        <f>'Other Benefit 4'!B37</f>
        <v>0</v>
      </c>
      <c r="P31" s="153">
        <f>SUM(C31:O31)-B31</f>
        <v>0</v>
      </c>
      <c r="Q31" s="8">
        <f>IFERROR(((P31-G31)/(1.031)^(A31-Overview!$B$22))+((G31)/(1.02)^(A31-Overview!$B$22)),0)</f>
        <v>0</v>
      </c>
    </row>
    <row r="32" spans="1:17" x14ac:dyDescent="0.25">
      <c r="A32" s="1" t="str">
        <f>IF(A31&lt;'Project Information'!B$11,A31+1,"")</f>
        <v/>
      </c>
      <c r="B32" s="7">
        <f>'Operations and Maintenance'!D34</f>
        <v>0</v>
      </c>
      <c r="C32" s="7">
        <f>Safety!D48</f>
        <v>0</v>
      </c>
      <c r="D32" s="7">
        <f>'Travel Time Savings'!D46</f>
        <v>0</v>
      </c>
      <c r="E32" s="7">
        <f>'Vehicle Operating Cost Savings'!D52</f>
        <v>0</v>
      </c>
      <c r="F32" s="21">
        <f>'Emissions Reduction'!S59</f>
        <v>0</v>
      </c>
      <c r="G32" s="21">
        <f>'Emissions Reduction'!T59</f>
        <v>0</v>
      </c>
      <c r="H32" s="21">
        <v>0</v>
      </c>
      <c r="I32" s="7">
        <f>'Amenity Benefits'!B37</f>
        <v>0</v>
      </c>
      <c r="J32" s="7">
        <f>'Health Benefits'!B41</f>
        <v>0</v>
      </c>
      <c r="K32" s="7">
        <f>'Residual Value'!B49</f>
        <v>0</v>
      </c>
      <c r="L32" s="7">
        <f>'Other Benefit 1'!B34</f>
        <v>0</v>
      </c>
      <c r="M32" s="7">
        <f>'Other Benefit 2'!B34</f>
        <v>0</v>
      </c>
      <c r="N32" s="7">
        <f>'Other Benefit 3'!B34</f>
        <v>0</v>
      </c>
      <c r="O32" s="7">
        <f>'Other Benefit 4'!B38</f>
        <v>0</v>
      </c>
      <c r="P32" s="153">
        <f t="shared" ref="P32:P35" si="1">SUM(C32:O32)-B32</f>
        <v>0</v>
      </c>
      <c r="Q32" s="8">
        <f>IFERROR(((P32-G32)/(1.031)^(A32-Overview!$B$22))+((G32)/(1.02)^(A32-Overview!$B$22)),0)</f>
        <v>0</v>
      </c>
    </row>
    <row r="33" spans="1:17" x14ac:dyDescent="0.25">
      <c r="A33" s="1" t="str">
        <f>IF(A32&lt;'Project Information'!B$11,A32+1,"")</f>
        <v/>
      </c>
      <c r="B33" s="7">
        <f>'Operations and Maintenance'!D35</f>
        <v>0</v>
      </c>
      <c r="C33" s="7">
        <f>Safety!D49</f>
        <v>0</v>
      </c>
      <c r="D33" s="7">
        <f>'Travel Time Savings'!D47</f>
        <v>0</v>
      </c>
      <c r="E33" s="7">
        <f>'Vehicle Operating Cost Savings'!D53</f>
        <v>0</v>
      </c>
      <c r="F33" s="21">
        <f>'Emissions Reduction'!S60</f>
        <v>0</v>
      </c>
      <c r="G33" s="21">
        <f>'Emissions Reduction'!T60</f>
        <v>0</v>
      </c>
      <c r="H33" s="21">
        <v>0</v>
      </c>
      <c r="I33" s="7">
        <f>'Amenity Benefits'!B38</f>
        <v>0</v>
      </c>
      <c r="J33" s="7">
        <f>'Health Benefits'!B42</f>
        <v>0</v>
      </c>
      <c r="K33" s="7">
        <f>'Residual Value'!B50</f>
        <v>0</v>
      </c>
      <c r="L33" s="7">
        <f>'Other Benefit 1'!B35</f>
        <v>0</v>
      </c>
      <c r="M33" s="7">
        <f>'Other Benefit 2'!B35</f>
        <v>0</v>
      </c>
      <c r="N33" s="7">
        <f>'Other Benefit 3'!B35</f>
        <v>0</v>
      </c>
      <c r="O33" s="7">
        <f>'Other Benefit 4'!B39</f>
        <v>0</v>
      </c>
      <c r="P33" s="153">
        <f t="shared" si="1"/>
        <v>0</v>
      </c>
      <c r="Q33" s="8">
        <f>IFERROR(((P33-G33)/(1.031)^(A33-Overview!$B$22))+((G33)/(1.02)^(A33-Overview!$B$22)),0)</f>
        <v>0</v>
      </c>
    </row>
    <row r="34" spans="1:17" x14ac:dyDescent="0.25">
      <c r="A34" s="1" t="str">
        <f>IF(A33&lt;'Project Information'!B$11,A33+1,"")</f>
        <v/>
      </c>
      <c r="B34" s="7">
        <f>'Operations and Maintenance'!D36</f>
        <v>0</v>
      </c>
      <c r="C34" s="7">
        <f>Safety!D50</f>
        <v>0</v>
      </c>
      <c r="D34" s="7">
        <f>'Travel Time Savings'!D48</f>
        <v>0</v>
      </c>
      <c r="E34" s="7">
        <f>'Vehicle Operating Cost Savings'!D54</f>
        <v>0</v>
      </c>
      <c r="F34" s="21">
        <f>'Emissions Reduction'!S61</f>
        <v>0</v>
      </c>
      <c r="G34" s="21">
        <f>'Emissions Reduction'!T61</f>
        <v>0</v>
      </c>
      <c r="H34" s="21">
        <v>0</v>
      </c>
      <c r="I34" s="7">
        <f>'Amenity Benefits'!B39</f>
        <v>0</v>
      </c>
      <c r="J34" s="7">
        <f>'Health Benefits'!B43</f>
        <v>0</v>
      </c>
      <c r="K34" s="7">
        <f>'Residual Value'!B51</f>
        <v>0</v>
      </c>
      <c r="L34" s="7">
        <f>'Other Benefit 1'!B36</f>
        <v>0</v>
      </c>
      <c r="M34" s="7">
        <f>'Other Benefit 2'!B36</f>
        <v>0</v>
      </c>
      <c r="N34" s="7">
        <f>'Other Benefit 3'!B36</f>
        <v>0</v>
      </c>
      <c r="O34" s="7">
        <f>'Other Benefit 4'!B40</f>
        <v>0</v>
      </c>
      <c r="P34" s="153">
        <f t="shared" si="1"/>
        <v>0</v>
      </c>
      <c r="Q34" s="8">
        <f>IFERROR(((P34-G34)/(1.031)^(A34-Overview!$B$22))+((G34)/(1.02)^(A34-Overview!$B$22)),0)</f>
        <v>0</v>
      </c>
    </row>
    <row r="35" spans="1:17" x14ac:dyDescent="0.25">
      <c r="A35" s="1" t="str">
        <f>IF(A34&lt;'Project Information'!B$11,A34+1,"")</f>
        <v/>
      </c>
      <c r="B35" s="7">
        <f>'Operations and Maintenance'!D37</f>
        <v>0</v>
      </c>
      <c r="C35" s="7">
        <f>Safety!D51</f>
        <v>0</v>
      </c>
      <c r="D35" s="7">
        <f>'Travel Time Savings'!D49</f>
        <v>0</v>
      </c>
      <c r="E35" s="7">
        <f>'Vehicle Operating Cost Savings'!D55</f>
        <v>0</v>
      </c>
      <c r="F35" s="21">
        <f>'Emissions Reduction'!S62</f>
        <v>0</v>
      </c>
      <c r="G35" s="21">
        <f>'Emissions Reduction'!T62</f>
        <v>0</v>
      </c>
      <c r="H35" s="21">
        <v>0</v>
      </c>
      <c r="I35" s="7">
        <f>'Amenity Benefits'!B40</f>
        <v>0</v>
      </c>
      <c r="J35" s="7">
        <f>'Health Benefits'!B44</f>
        <v>0</v>
      </c>
      <c r="K35" s="7">
        <f>'Residual Value'!B52</f>
        <v>0</v>
      </c>
      <c r="L35" s="7">
        <f>'Other Benefit 1'!B37</f>
        <v>0</v>
      </c>
      <c r="M35" s="7">
        <f>'Other Benefit 2'!B37</f>
        <v>0</v>
      </c>
      <c r="N35" s="7">
        <f>'Other Benefit 3'!B37</f>
        <v>0</v>
      </c>
      <c r="O35" s="7">
        <f>'Other Benefit 4'!B41</f>
        <v>0</v>
      </c>
      <c r="P35" s="153">
        <f t="shared" si="1"/>
        <v>0</v>
      </c>
      <c r="Q35" s="8">
        <f>IFERROR(((P35-G35)/(1.031)^(A35-Overview!$B$22))+((G35)/(1.02)^(A35-Overview!$B$22)),0)</f>
        <v>0</v>
      </c>
    </row>
    <row r="36" spans="1:17" x14ac:dyDescent="0.25">
      <c r="A36" s="3" t="s">
        <v>350</v>
      </c>
      <c r="B36" s="166">
        <f>SUM(B6:B35)</f>
        <v>-108048023</v>
      </c>
      <c r="C36" s="166">
        <f t="shared" ref="C36:O36" si="2">SUM(C6:C35)</f>
        <v>409374.92600806436</v>
      </c>
      <c r="D36" s="166">
        <f t="shared" si="2"/>
        <v>40621691.325000003</v>
      </c>
      <c r="E36" s="166">
        <f t="shared" si="2"/>
        <v>155474993.02499995</v>
      </c>
      <c r="F36" s="169">
        <f t="shared" si="2"/>
        <v>571395767.07500005</v>
      </c>
      <c r="G36" s="169">
        <f t="shared" si="2"/>
        <v>24025942.499999981</v>
      </c>
      <c r="H36" s="169">
        <f t="shared" si="2"/>
        <v>0</v>
      </c>
      <c r="I36" s="166">
        <f t="shared" si="2"/>
        <v>0</v>
      </c>
      <c r="J36" s="166">
        <f t="shared" si="2"/>
        <v>0</v>
      </c>
      <c r="K36" s="166">
        <f t="shared" si="2"/>
        <v>11106894.061646577</v>
      </c>
      <c r="L36" s="166">
        <f t="shared" si="2"/>
        <v>0</v>
      </c>
      <c r="M36" s="166">
        <f t="shared" si="2"/>
        <v>0</v>
      </c>
      <c r="N36" s="166">
        <f t="shared" si="2"/>
        <v>0</v>
      </c>
      <c r="O36" s="166">
        <f t="shared" si="2"/>
        <v>0</v>
      </c>
      <c r="P36" s="167">
        <f>SUM(P6:P35)</f>
        <v>911082685.912655</v>
      </c>
      <c r="Q36" s="161"/>
    </row>
    <row r="37" spans="1:17" x14ac:dyDescent="0.25">
      <c r="A37" s="25" t="s">
        <v>175</v>
      </c>
      <c r="B37" s="166">
        <f>NPV(0.031,B6:B35)/(1.031)^($A$6-[1]Overview!$B$22-1)</f>
        <v>-64734897.772283852</v>
      </c>
      <c r="C37" s="166">
        <f>NPV(0.031,C6:C35)/(1.031)^($A$6-[1]Overview!$B$22-1)</f>
        <v>242068.76326098948</v>
      </c>
      <c r="D37" s="166">
        <f>NPV(0.031,D6:D35)/(1.031)^($A$6-[1]Overview!$B$22-1)</f>
        <v>23598742.922274295</v>
      </c>
      <c r="E37" s="166">
        <f>NPV(0.031,E6:E35)/(1.031)^($A$6-[1]Overview!$B$22-1)</f>
        <v>89988741.97337991</v>
      </c>
      <c r="F37" s="37">
        <f>NPV(0.031,F6:F35)/(1.031)^($A$6-[1]Overview!$B$22-1)</f>
        <v>331385810.96060389</v>
      </c>
      <c r="G37" s="37">
        <f>NPV(0.02,G6:G35)/(1.02)^($A$6-[1]Overview!$B$22-1)</f>
        <v>16994025.845793482</v>
      </c>
      <c r="H37" s="37">
        <f>NPV(0.031,H6:H35)/(1.031)^($A$6-[1]Overview!$B$22-1)</f>
        <v>0</v>
      </c>
      <c r="I37" s="166">
        <f>NPV(0.031,I6:I35)/(1.031)^($A$6-[1]Overview!$B$22-1)</f>
        <v>0</v>
      </c>
      <c r="J37" s="166">
        <f>NPV(0.031,J6:J35)/(1.031)^($A$6-[1]Overview!$B$22-1)</f>
        <v>0</v>
      </c>
      <c r="K37" s="166">
        <f>NPV(0.031,K6:K35)/(1.031)^($A$6-[1]Overview!$B$22-1)</f>
        <v>4444599.8886570828</v>
      </c>
      <c r="L37" s="166">
        <f>NPV(0.031,L6:L35)/(1.031)^($A$6-[1]Overview!$B$22-1)</f>
        <v>0</v>
      </c>
      <c r="M37" s="166">
        <f>NPV(0.031,M6:M35)/(1.031)^($A$6-[1]Overview!$B$22-1)</f>
        <v>0</v>
      </c>
      <c r="N37" s="166">
        <f>NPV(0.031,N6:N35)/(1.031)^($A$6-[1]Overview!$B$22-1)</f>
        <v>0</v>
      </c>
      <c r="O37" s="166">
        <f>NPV(0.031,O6:O35)/(1.031)^($A$6-[1]Overview!$B$22-1)</f>
        <v>0</v>
      </c>
      <c r="P37" s="166">
        <f>NPV(0.031,P6:P35)/(1.031)^($A$6-[1]Overview!$B$22-1)</f>
        <v>528601717.21382743</v>
      </c>
      <c r="Q37" s="161">
        <f>SUM(Q6:Q35)</f>
        <v>531388888.12625337</v>
      </c>
    </row>
    <row r="38" spans="1:17" x14ac:dyDescent="0.25">
      <c r="A38" s="5" t="s">
        <v>198</v>
      </c>
      <c r="B38" s="291">
        <f>-B37/$Q$37</f>
        <v>0.12182207648441344</v>
      </c>
      <c r="C38" s="291">
        <f>C37/$Q$37</f>
        <v>4.5553975378475746E-4</v>
      </c>
      <c r="D38" s="291">
        <f>D37/$Q$37</f>
        <v>4.4409552870942684E-2</v>
      </c>
      <c r="E38" s="291">
        <f t="shared" ref="E38:G38" si="3">E37/$Q$37</f>
        <v>0.1693462998270287</v>
      </c>
      <c r="F38" s="291">
        <f t="shared" si="3"/>
        <v>0.62362201838490361</v>
      </c>
      <c r="G38" s="291">
        <f t="shared" si="3"/>
        <v>3.1980393691928032E-2</v>
      </c>
      <c r="H38" s="329"/>
    </row>
    <row r="39" spans="1:17" x14ac:dyDescent="0.25">
      <c r="A39" s="94" t="s">
        <v>237</v>
      </c>
      <c r="Q39" s="271"/>
    </row>
    <row r="40" spans="1:17" x14ac:dyDescent="0.25">
      <c r="A40" s="107" t="s">
        <v>4</v>
      </c>
      <c r="B40" s="110" t="s">
        <v>5</v>
      </c>
      <c r="C40" s="105" t="s">
        <v>6</v>
      </c>
    </row>
    <row r="41" spans="1:17" x14ac:dyDescent="0.25">
      <c r="A41" s="117">
        <f>'Capital Costs'!A9</f>
        <v>2025</v>
      </c>
      <c r="B41" s="7">
        <f>'Capital Costs'!C9</f>
        <v>21345201.069853507</v>
      </c>
      <c r="C41" s="18">
        <f>B41/(1.031)^(A41-Overview!$B$22)</f>
        <v>19477098.219080385</v>
      </c>
    </row>
    <row r="42" spans="1:17" x14ac:dyDescent="0.25">
      <c r="A42" s="118">
        <f t="shared" ref="A42:A55" si="4">A41+1</f>
        <v>2026</v>
      </c>
      <c r="B42" s="7">
        <f>'Capital Costs'!C10</f>
        <v>20723496.184323791</v>
      </c>
      <c r="C42" s="18">
        <f>B42/(1.031)^(A42-Overview!$B$22)</f>
        <v>18341226.087482587</v>
      </c>
    </row>
    <row r="43" spans="1:17" x14ac:dyDescent="0.25">
      <c r="A43" s="118">
        <f t="shared" si="4"/>
        <v>2027</v>
      </c>
      <c r="B43" s="7">
        <f>'Capital Costs'!C11</f>
        <v>17245627.892641161</v>
      </c>
      <c r="C43" s="18">
        <f>B43/(1.031)^(A43-Overview!$B$22)</f>
        <v>14804225.261672553</v>
      </c>
    </row>
    <row r="44" spans="1:17" x14ac:dyDescent="0.25">
      <c r="A44" s="118">
        <f t="shared" si="4"/>
        <v>2028</v>
      </c>
      <c r="B44" s="7">
        <f>'Capital Costs'!C12</f>
        <v>0</v>
      </c>
      <c r="C44" s="18">
        <f>B44/(1.031)^(A44-Overview!$B$22)</f>
        <v>0</v>
      </c>
    </row>
    <row r="45" spans="1:17" x14ac:dyDescent="0.25">
      <c r="A45" s="118">
        <f t="shared" si="4"/>
        <v>2029</v>
      </c>
      <c r="B45" s="7">
        <f>'Capital Costs'!C13</f>
        <v>0</v>
      </c>
      <c r="C45" s="18">
        <f>B45/(1.031)^(A45-Overview!$B$22)</f>
        <v>0</v>
      </c>
      <c r="D45" s="36"/>
    </row>
    <row r="46" spans="1:17" x14ac:dyDescent="0.25">
      <c r="A46" s="118">
        <f t="shared" si="4"/>
        <v>2030</v>
      </c>
      <c r="B46" s="7">
        <f>'Capital Costs'!C14</f>
        <v>0</v>
      </c>
      <c r="C46" s="18">
        <f>B46/(1.031)^(A46-Overview!$B$22)</f>
        <v>0</v>
      </c>
      <c r="D46" s="36"/>
    </row>
    <row r="47" spans="1:17" x14ac:dyDescent="0.25">
      <c r="A47" s="118">
        <f t="shared" si="4"/>
        <v>2031</v>
      </c>
      <c r="B47" s="7">
        <f>'Capital Costs'!C15</f>
        <v>0</v>
      </c>
      <c r="C47" s="18">
        <f>B47/(1.031)^(A47-Overview!$B$22)</f>
        <v>0</v>
      </c>
      <c r="D47" s="36"/>
    </row>
    <row r="48" spans="1:17" x14ac:dyDescent="0.25">
      <c r="A48" s="118">
        <f t="shared" si="4"/>
        <v>2032</v>
      </c>
      <c r="B48" s="7">
        <f>'Capital Costs'!C16</f>
        <v>0</v>
      </c>
      <c r="C48" s="18">
        <f>B48/(1.031)^(A48-Overview!$B$22)</f>
        <v>0</v>
      </c>
      <c r="D48" s="36"/>
    </row>
    <row r="49" spans="1:4" x14ac:dyDescent="0.25">
      <c r="A49" s="118">
        <f t="shared" si="4"/>
        <v>2033</v>
      </c>
      <c r="B49" s="7">
        <f>'Capital Costs'!C17</f>
        <v>0</v>
      </c>
      <c r="C49" s="18">
        <f>B49/(1.031)^(A49-Overview!$B$22)</f>
        <v>0</v>
      </c>
      <c r="D49" s="36"/>
    </row>
    <row r="50" spans="1:4" x14ac:dyDescent="0.25">
      <c r="A50" s="118">
        <f t="shared" si="4"/>
        <v>2034</v>
      </c>
      <c r="B50" s="7">
        <f>'Capital Costs'!C18</f>
        <v>0</v>
      </c>
      <c r="C50" s="18">
        <f>B50/(1.031)^(A50-Overview!$B$22)</f>
        <v>0</v>
      </c>
    </row>
    <row r="51" spans="1:4" x14ac:dyDescent="0.25">
      <c r="A51" s="118">
        <f t="shared" si="4"/>
        <v>2035</v>
      </c>
      <c r="B51" s="7">
        <f>'Capital Costs'!C19</f>
        <v>0</v>
      </c>
      <c r="C51" s="18">
        <f>B51/(1.031)^(A51-Overview!$B$22)</f>
        <v>0</v>
      </c>
    </row>
    <row r="52" spans="1:4" x14ac:dyDescent="0.25">
      <c r="A52" s="118">
        <f t="shared" si="4"/>
        <v>2036</v>
      </c>
      <c r="B52" s="7">
        <f>'Capital Costs'!C20</f>
        <v>0</v>
      </c>
      <c r="C52" s="18">
        <f>B52/(1.031)^(A52-Overview!$B$22)</f>
        <v>0</v>
      </c>
    </row>
    <row r="53" spans="1:4" x14ac:dyDescent="0.25">
      <c r="A53" s="118">
        <f t="shared" si="4"/>
        <v>2037</v>
      </c>
      <c r="B53" s="7">
        <f>'Capital Costs'!C21</f>
        <v>0</v>
      </c>
      <c r="C53" s="18">
        <f>B53/(1.031)^(A53-Overview!$B$22)</f>
        <v>0</v>
      </c>
    </row>
    <row r="54" spans="1:4" x14ac:dyDescent="0.25">
      <c r="A54" s="118">
        <f t="shared" si="4"/>
        <v>2038</v>
      </c>
      <c r="B54" s="7">
        <f>'Capital Costs'!C22</f>
        <v>0</v>
      </c>
      <c r="C54" s="18">
        <f>B54/(1.031)^(A54-Overview!$B$22)</f>
        <v>0</v>
      </c>
    </row>
    <row r="55" spans="1:4" x14ac:dyDescent="0.25">
      <c r="A55" s="118">
        <f t="shared" si="4"/>
        <v>2039</v>
      </c>
      <c r="B55" s="7">
        <f>'Capital Costs'!C23</f>
        <v>0</v>
      </c>
      <c r="C55" s="18">
        <f>B55/(1.031)^(A55-Overview!$B$22)</f>
        <v>0</v>
      </c>
    </row>
    <row r="56" spans="1:4" x14ac:dyDescent="0.25">
      <c r="A56" s="25" t="s">
        <v>19</v>
      </c>
      <c r="B56" s="166">
        <f>SUM(B41:B55)</f>
        <v>59314325.146818459</v>
      </c>
      <c r="C56" s="168">
        <f>SUM(C41:C55)+'Capital Costs'!A5</f>
        <v>52622549.568235531</v>
      </c>
      <c r="D56" s="36"/>
    </row>
    <row r="57" spans="1:4" x14ac:dyDescent="0.25">
      <c r="C57" s="36"/>
      <c r="D57" s="36"/>
    </row>
    <row r="58" spans="1:4" x14ac:dyDescent="0.25">
      <c r="C58" s="36"/>
      <c r="D58" s="36"/>
    </row>
    <row r="59" spans="1:4" x14ac:dyDescent="0.25">
      <c r="C59" s="36"/>
      <c r="D59" s="36"/>
    </row>
    <row r="60" spans="1:4" x14ac:dyDescent="0.25">
      <c r="C60" s="36"/>
      <c r="D60" s="36"/>
    </row>
    <row r="61" spans="1:4" x14ac:dyDescent="0.25">
      <c r="C61" s="36"/>
      <c r="D61" s="36"/>
    </row>
    <row r="62" spans="1:4" x14ac:dyDescent="0.25">
      <c r="C62" s="36"/>
      <c r="D62" s="36"/>
    </row>
    <row r="63" spans="1:4" x14ac:dyDescent="0.25">
      <c r="D63" s="36"/>
    </row>
    <row r="65" spans="3:3" x14ac:dyDescent="0.25">
      <c r="C65" s="29"/>
    </row>
  </sheetData>
  <mergeCells count="1">
    <mergeCell ref="R5:U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F9DC5-C9C2-4023-B877-38772BB6BEA7}">
  <sheetPr>
    <tabColor theme="9" tint="0.39997558519241921"/>
  </sheetPr>
  <dimension ref="A1:E11"/>
  <sheetViews>
    <sheetView workbookViewId="0">
      <selection activeCell="B8" sqref="B8"/>
    </sheetView>
  </sheetViews>
  <sheetFormatPr defaultColWidth="8.7109375" defaultRowHeight="15" x14ac:dyDescent="0.25"/>
  <cols>
    <col min="1" max="1" width="56.28515625" style="5" customWidth="1"/>
    <col min="2" max="16384" width="8.7109375" style="5"/>
  </cols>
  <sheetData>
    <row r="1" spans="1:5" ht="20.25" thickBot="1" x14ac:dyDescent="0.35">
      <c r="A1" s="93" t="s">
        <v>204</v>
      </c>
    </row>
    <row r="2" spans="1:5" ht="15.75" thickTop="1" x14ac:dyDescent="0.25">
      <c r="A2" s="148" t="s">
        <v>176</v>
      </c>
      <c r="B2" s="148"/>
      <c r="C2" s="148"/>
      <c r="D2" s="148"/>
      <c r="E2" s="148"/>
    </row>
    <row r="3" spans="1:5" x14ac:dyDescent="0.25">
      <c r="A3" s="5" t="s">
        <v>198</v>
      </c>
    </row>
    <row r="4" spans="1:5" x14ac:dyDescent="0.25">
      <c r="A4" s="94" t="s">
        <v>205</v>
      </c>
    </row>
    <row r="5" spans="1:5" x14ac:dyDescent="0.25">
      <c r="A5" s="97" t="s">
        <v>206</v>
      </c>
      <c r="B5" s="98" t="s">
        <v>207</v>
      </c>
    </row>
    <row r="6" spans="1:5" x14ac:dyDescent="0.25">
      <c r="A6" s="43" t="s">
        <v>158</v>
      </c>
      <c r="B6" s="95">
        <f>Overview!B22</f>
        <v>2022</v>
      </c>
    </row>
    <row r="7" spans="1:5" x14ac:dyDescent="0.25">
      <c r="A7" s="43" t="s">
        <v>306</v>
      </c>
      <c r="B7" s="23">
        <v>2025</v>
      </c>
      <c r="C7" s="5" t="s">
        <v>328</v>
      </c>
    </row>
    <row r="8" spans="1:5" x14ac:dyDescent="0.25">
      <c r="A8" s="43" t="s">
        <v>163</v>
      </c>
      <c r="B8" s="23">
        <v>3</v>
      </c>
      <c r="C8" s="5" t="s">
        <v>165</v>
      </c>
    </row>
    <row r="9" spans="1:5" x14ac:dyDescent="0.25">
      <c r="A9" s="43" t="s">
        <v>162</v>
      </c>
      <c r="B9" s="96">
        <f>B7+B8</f>
        <v>2028</v>
      </c>
    </row>
    <row r="10" spans="1:5" x14ac:dyDescent="0.25">
      <c r="A10" s="43" t="s">
        <v>164</v>
      </c>
      <c r="B10" s="23">
        <v>25</v>
      </c>
      <c r="C10" s="5" t="s">
        <v>344</v>
      </c>
    </row>
    <row r="11" spans="1:5" x14ac:dyDescent="0.25">
      <c r="A11" s="43" t="s">
        <v>168</v>
      </c>
      <c r="B11" s="96">
        <f>B7+B8+B10-1</f>
        <v>2052</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06FF2-EC53-4111-9343-1323F6427D32}">
  <sheetPr>
    <tabColor theme="1"/>
  </sheetPr>
  <dimension ref="A1:K50"/>
  <sheetViews>
    <sheetView tabSelected="1" topLeftCell="A21" zoomScale="130" zoomScaleNormal="130" workbookViewId="0">
      <selection activeCell="D53" sqref="D53"/>
    </sheetView>
  </sheetViews>
  <sheetFormatPr defaultColWidth="8.7109375" defaultRowHeight="15" x14ac:dyDescent="0.25"/>
  <cols>
    <col min="1" max="1" width="41.28515625" style="5" customWidth="1"/>
    <col min="2" max="2" width="20.5703125" style="5" customWidth="1"/>
    <col min="3" max="3" width="12" style="5" customWidth="1"/>
    <col min="4" max="4" width="14" style="5" customWidth="1"/>
    <col min="5" max="5" width="13.5703125" style="5" customWidth="1"/>
    <col min="6" max="6" width="13.42578125" style="5" customWidth="1"/>
    <col min="7" max="7" width="34.85546875" style="5" customWidth="1"/>
    <col min="8" max="8" width="13.85546875" style="5" customWidth="1"/>
    <col min="9" max="9" width="8.7109375" style="5"/>
    <col min="10" max="10" width="13.140625" style="5" customWidth="1"/>
    <col min="11" max="11" width="15.28515625" style="5" customWidth="1"/>
    <col min="12" max="16384" width="8.7109375" style="5"/>
  </cols>
  <sheetData>
    <row r="1" spans="1:3" ht="20.25" thickBot="1" x14ac:dyDescent="0.35">
      <c r="A1" s="93" t="s">
        <v>213</v>
      </c>
    </row>
    <row r="2" spans="1:3" ht="19.5" thickTop="1" x14ac:dyDescent="0.25">
      <c r="A2" s="101" t="s">
        <v>198</v>
      </c>
    </row>
    <row r="3" spans="1:3" x14ac:dyDescent="0.25">
      <c r="A3" s="94" t="s">
        <v>210</v>
      </c>
    </row>
    <row r="4" spans="1:3" x14ac:dyDescent="0.25">
      <c r="A4" s="103" t="s">
        <v>31</v>
      </c>
      <c r="B4" s="103" t="s">
        <v>207</v>
      </c>
    </row>
    <row r="5" spans="1:3" x14ac:dyDescent="0.25">
      <c r="A5" s="95" t="s">
        <v>0</v>
      </c>
      <c r="B5" s="102">
        <f>Summary!Q37</f>
        <v>531388888.12625337</v>
      </c>
    </row>
    <row r="6" spans="1:3" x14ac:dyDescent="0.25">
      <c r="A6" s="95" t="s">
        <v>1</v>
      </c>
      <c r="B6" s="102">
        <f>Summary!C56</f>
        <v>52622549.568235531</v>
      </c>
    </row>
    <row r="7" spans="1:3" x14ac:dyDescent="0.25">
      <c r="A7" s="95" t="s">
        <v>2</v>
      </c>
      <c r="B7" s="102">
        <f>B5-B6</f>
        <v>478766338.55801785</v>
      </c>
    </row>
    <row r="8" spans="1:3" x14ac:dyDescent="0.25">
      <c r="A8" s="287" t="s">
        <v>3</v>
      </c>
      <c r="B8" s="367">
        <f>IFERROR(B5/B6, "Enter Costs in 'Capital Cost' sheet")</f>
        <v>10.098121289946294</v>
      </c>
      <c r="C8" s="5" t="s">
        <v>258</v>
      </c>
    </row>
    <row r="9" spans="1:3" x14ac:dyDescent="0.25">
      <c r="A9" s="95" t="s">
        <v>472</v>
      </c>
      <c r="B9" s="141">
        <f>Summary!U9</f>
        <v>2.9897158162861848</v>
      </c>
    </row>
    <row r="21" spans="1:11" x14ac:dyDescent="0.25">
      <c r="A21" s="373"/>
    </row>
    <row r="22" spans="1:11" x14ac:dyDescent="0.25">
      <c r="A22" s="373"/>
    </row>
    <row r="23" spans="1:11" x14ac:dyDescent="0.25">
      <c r="A23" s="349" t="s">
        <v>501</v>
      </c>
      <c r="B23" s="348"/>
      <c r="C23" s="348"/>
      <c r="D23" s="348"/>
      <c r="E23" s="348"/>
      <c r="K23" s="355"/>
    </row>
    <row r="24" spans="1:11" x14ac:dyDescent="0.25">
      <c r="A24" s="374"/>
      <c r="B24" s="332"/>
      <c r="C24" s="332"/>
      <c r="D24" s="332"/>
      <c r="E24" s="332"/>
      <c r="F24" s="332"/>
      <c r="K24" s="332"/>
    </row>
    <row r="25" spans="1:11" x14ac:dyDescent="0.25">
      <c r="A25" s="374"/>
      <c r="B25" s="332"/>
      <c r="C25" s="332"/>
      <c r="D25" s="332"/>
      <c r="E25" s="332"/>
      <c r="F25" s="332"/>
      <c r="K25" s="332"/>
    </row>
    <row r="26" spans="1:11" x14ac:dyDescent="0.25">
      <c r="A26" s="374"/>
      <c r="B26" s="332"/>
      <c r="C26" s="332"/>
      <c r="D26" s="332"/>
      <c r="E26" s="332"/>
      <c r="F26" s="332"/>
      <c r="K26" s="332"/>
    </row>
    <row r="27" spans="1:11" x14ac:dyDescent="0.25">
      <c r="A27" s="374"/>
      <c r="B27" s="332"/>
      <c r="C27" s="332"/>
      <c r="D27" s="332"/>
      <c r="E27" s="332"/>
      <c r="F27" s="332"/>
      <c r="K27" s="332"/>
    </row>
    <row r="28" spans="1:11" x14ac:dyDescent="0.25">
      <c r="A28" s="375">
        <f>B9/25</f>
        <v>0.1195886326514474</v>
      </c>
      <c r="B28" s="332"/>
      <c r="C28" s="332"/>
      <c r="D28" s="332"/>
      <c r="E28" s="332"/>
      <c r="F28" s="332"/>
      <c r="K28" s="332"/>
    </row>
    <row r="29" spans="1:11" x14ac:dyDescent="0.25">
      <c r="A29" s="376">
        <v>1</v>
      </c>
      <c r="B29" s="332"/>
      <c r="C29" s="332"/>
      <c r="D29" s="332"/>
      <c r="E29" s="332"/>
      <c r="F29" s="332"/>
      <c r="K29" s="332"/>
    </row>
    <row r="30" spans="1:11" x14ac:dyDescent="0.25">
      <c r="A30" s="332"/>
      <c r="B30" s="332"/>
      <c r="C30" s="332"/>
      <c r="D30" s="332"/>
      <c r="E30" s="332"/>
      <c r="F30" s="332"/>
      <c r="K30" s="332"/>
    </row>
    <row r="31" spans="1:11" ht="26.25" x14ac:dyDescent="0.4">
      <c r="A31" s="333">
        <f>B9</f>
        <v>2.9897158162861848</v>
      </c>
      <c r="B31" s="332"/>
      <c r="C31" s="332"/>
      <c r="D31" s="332"/>
      <c r="E31" s="332"/>
      <c r="F31" s="332"/>
      <c r="G31" s="333"/>
      <c r="I31" s="332"/>
      <c r="J31" s="332"/>
      <c r="K31" s="332"/>
    </row>
    <row r="32" spans="1:11" x14ac:dyDescent="0.25">
      <c r="A32" s="332"/>
      <c r="B32" s="332"/>
      <c r="C32" s="332"/>
      <c r="D32" s="332"/>
      <c r="E32" s="332"/>
      <c r="F32" s="332"/>
      <c r="G32" s="332"/>
      <c r="I32" s="332"/>
      <c r="J32" s="332"/>
      <c r="K32" s="332"/>
    </row>
    <row r="33" spans="1:11" x14ac:dyDescent="0.25">
      <c r="A33" s="332"/>
      <c r="B33" s="332"/>
      <c r="C33" s="332"/>
      <c r="D33" s="332"/>
      <c r="E33" s="332"/>
      <c r="F33" s="332"/>
      <c r="G33" s="332"/>
      <c r="I33" s="332"/>
      <c r="J33" s="332"/>
      <c r="K33" s="332"/>
    </row>
    <row r="34" spans="1:11" x14ac:dyDescent="0.25">
      <c r="A34" s="332"/>
      <c r="B34" s="332"/>
      <c r="C34" s="332"/>
      <c r="D34" s="332"/>
      <c r="E34" s="332"/>
      <c r="F34" s="332"/>
      <c r="G34" s="332"/>
      <c r="I34" s="332"/>
      <c r="J34" s="332"/>
      <c r="K34" s="332"/>
    </row>
    <row r="35" spans="1:11" x14ac:dyDescent="0.25">
      <c r="A35" s="332"/>
      <c r="B35" s="332"/>
      <c r="C35" s="332"/>
      <c r="D35" s="332"/>
      <c r="E35" s="332"/>
      <c r="F35" s="332"/>
      <c r="G35" s="332"/>
      <c r="I35" s="332"/>
      <c r="J35" s="332"/>
      <c r="K35" s="332"/>
    </row>
    <row r="36" spans="1:11" ht="18.75" x14ac:dyDescent="0.3">
      <c r="A36" s="306" t="s">
        <v>482</v>
      </c>
      <c r="B36" s="332"/>
      <c r="C36" s="332"/>
      <c r="D36" s="307" t="s">
        <v>474</v>
      </c>
      <c r="E36" s="332"/>
      <c r="F36" s="332"/>
      <c r="G36" s="306"/>
      <c r="I36" s="332"/>
      <c r="J36" s="307"/>
      <c r="K36" s="332"/>
    </row>
    <row r="37" spans="1:11" ht="17.25" customHeight="1" x14ac:dyDescent="0.3">
      <c r="A37" s="334" t="s">
        <v>481</v>
      </c>
      <c r="B37" s="305">
        <f>25*'Travel Time Savings'!AA31+'Travel Time Savings'!AB31-('Travel Time Savings'!AC31+'Travel Time Savings'!AD31)</f>
        <v>182467.51500000001</v>
      </c>
      <c r="C37" s="332"/>
      <c r="D37" s="292" t="str">
        <f>A5&amp;":"</f>
        <v>Total Discounted Benefits:</v>
      </c>
      <c r="E37" s="293">
        <f>B5</f>
        <v>531388888.12625337</v>
      </c>
      <c r="F37" s="332"/>
      <c r="G37" s="334"/>
      <c r="I37" s="332"/>
      <c r="J37" s="292"/>
      <c r="K37" s="293"/>
    </row>
    <row r="38" spans="1:11" ht="17.25" customHeight="1" x14ac:dyDescent="0.3">
      <c r="A38" s="334" t="s">
        <v>496</v>
      </c>
      <c r="B38" s="294">
        <f>Safety!U54</f>
        <v>1.6245967741935488</v>
      </c>
      <c r="C38" s="332"/>
      <c r="D38" s="292" t="str">
        <f>A6&amp;":"</f>
        <v>Total Discounted Costs:</v>
      </c>
      <c r="E38" s="293">
        <f>B6</f>
        <v>52622549.568235531</v>
      </c>
      <c r="F38" s="332"/>
      <c r="K38" s="293"/>
    </row>
    <row r="39" spans="1:11" ht="17.25" customHeight="1" x14ac:dyDescent="0.3">
      <c r="A39" s="334" t="s">
        <v>480</v>
      </c>
      <c r="B39" s="304">
        <f>Summary!G37</f>
        <v>16994025.845793482</v>
      </c>
      <c r="C39" s="332"/>
      <c r="D39" s="292" t="str">
        <f>A7&amp;":"</f>
        <v>Net Present Value:</v>
      </c>
      <c r="E39" s="293">
        <f>B7</f>
        <v>478766338.55801785</v>
      </c>
      <c r="F39" s="332"/>
      <c r="K39" s="293"/>
    </row>
    <row r="40" spans="1:11" ht="17.25" customHeight="1" x14ac:dyDescent="0.25">
      <c r="A40" s="332"/>
      <c r="B40" s="335"/>
      <c r="C40" s="336"/>
      <c r="D40" s="330" t="str">
        <f>A8&amp;":"</f>
        <v>Benefit Cost Ratio:</v>
      </c>
      <c r="E40" s="331" t="str">
        <f>ROUND(B8,2)&amp;":1"</f>
        <v>10.1:1</v>
      </c>
      <c r="F40" s="332"/>
      <c r="K40" s="331"/>
    </row>
    <row r="41" spans="1:11" x14ac:dyDescent="0.25">
      <c r="A41" s="332"/>
      <c r="B41" s="332"/>
      <c r="C41" s="332"/>
      <c r="D41" s="332"/>
      <c r="E41" s="332"/>
      <c r="F41" s="332"/>
    </row>
    <row r="43" spans="1:11" x14ac:dyDescent="0.25">
      <c r="A43" s="349" t="s">
        <v>502</v>
      </c>
      <c r="B43" s="348"/>
      <c r="C43" s="348"/>
      <c r="D43" s="348"/>
      <c r="E43" s="204"/>
    </row>
    <row r="44" spans="1:11" x14ac:dyDescent="0.25">
      <c r="A44" s="350" t="s">
        <v>503</v>
      </c>
      <c r="B44" s="332"/>
      <c r="C44" s="332"/>
      <c r="D44" s="332"/>
    </row>
    <row r="45" spans="1:11" x14ac:dyDescent="0.25">
      <c r="A45" s="351" t="s">
        <v>504</v>
      </c>
      <c r="B45" s="377"/>
      <c r="C45" s="354" t="s">
        <v>507</v>
      </c>
      <c r="D45" s="354" t="s">
        <v>506</v>
      </c>
      <c r="E45" s="352" t="s">
        <v>505</v>
      </c>
    </row>
    <row r="46" spans="1:11" x14ac:dyDescent="0.25">
      <c r="A46" s="332" t="s">
        <v>521</v>
      </c>
      <c r="C46" s="437">
        <v>10.098121289946294</v>
      </c>
      <c r="D46" s="437">
        <v>10.06</v>
      </c>
      <c r="E46" s="356">
        <f>(D46-C46)/C46</f>
        <v>-3.7750873505794256E-3</v>
      </c>
    </row>
    <row r="47" spans="1:11" x14ac:dyDescent="0.25">
      <c r="A47" s="332" t="s">
        <v>520</v>
      </c>
      <c r="C47" s="437">
        <v>10.098121289946294</v>
      </c>
      <c r="D47" s="438">
        <v>10.07</v>
      </c>
      <c r="E47" s="356">
        <f>(D47-C47)/C47</f>
        <v>-2.7848041372102415E-3</v>
      </c>
    </row>
    <row r="48" spans="1:11" x14ac:dyDescent="0.25">
      <c r="A48" s="332" t="s">
        <v>519</v>
      </c>
      <c r="C48" s="437">
        <v>10.098121289946294</v>
      </c>
      <c r="D48" s="438">
        <v>10.097814616900553</v>
      </c>
      <c r="E48" s="356">
        <f>(D48-C48)/C48</f>
        <v>-3.0369316918929579E-5</v>
      </c>
    </row>
    <row r="49" spans="1:5" x14ac:dyDescent="0.25">
      <c r="A49" s="5" t="s">
        <v>518</v>
      </c>
      <c r="C49" s="437">
        <v>10.098121289946294</v>
      </c>
      <c r="D49" s="438">
        <v>10.09</v>
      </c>
      <c r="E49" s="356">
        <f>(D49-C49)/C49</f>
        <v>-8.0423771047187325E-4</v>
      </c>
    </row>
    <row r="50" spans="1:5" x14ac:dyDescent="0.25">
      <c r="A50" s="332" t="s">
        <v>517</v>
      </c>
      <c r="C50" s="437">
        <v>10.098121289946294</v>
      </c>
      <c r="D50" s="438">
        <v>10</v>
      </c>
      <c r="E50" s="356">
        <f>(D50-C50)/C50</f>
        <v>-9.7167866307947062E-3</v>
      </c>
    </row>
  </sheetData>
  <conditionalFormatting sqref="A4:B4">
    <cfRule type="expression" dxfId="0" priority="1">
      <formula>ISNUMBER(SEARCH("_sns",A$4))</formula>
    </cfRule>
  </conditionalFormatting>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762AA-A4A0-4AEE-A83B-E1DACDC73A36}">
  <sheetPr>
    <tabColor theme="0" tint="-0.249977111117893"/>
  </sheetPr>
  <dimension ref="A1:N261"/>
  <sheetViews>
    <sheetView topLeftCell="A232" zoomScaleNormal="100" workbookViewId="0">
      <selection activeCell="E159" sqref="E159"/>
    </sheetView>
  </sheetViews>
  <sheetFormatPr defaultRowHeight="15" x14ac:dyDescent="0.25"/>
  <cols>
    <col min="1" max="1" width="48.85546875" customWidth="1"/>
    <col min="2" max="2" width="27.28515625" customWidth="1"/>
    <col min="3" max="3" width="22.5703125" customWidth="1"/>
    <col min="4" max="4" width="19" customWidth="1"/>
    <col min="5" max="5" width="13.5703125" customWidth="1"/>
    <col min="6" max="6" width="26.85546875" customWidth="1"/>
    <col min="7" max="7" width="9.42578125" bestFit="1" customWidth="1"/>
    <col min="9" max="9" width="10.85546875" bestFit="1" customWidth="1"/>
    <col min="10" max="10" width="11.140625" bestFit="1" customWidth="1"/>
    <col min="11" max="11" width="12.7109375" bestFit="1" customWidth="1"/>
    <col min="12" max="12" width="18.140625" bestFit="1" customWidth="1"/>
  </cols>
  <sheetData>
    <row r="1" spans="1:6" ht="21" x14ac:dyDescent="0.35">
      <c r="A1" s="56" t="s">
        <v>197</v>
      </c>
      <c r="B1" s="57"/>
      <c r="C1" s="57"/>
      <c r="D1" s="57"/>
      <c r="E1" s="57"/>
      <c r="F1" s="204"/>
    </row>
    <row r="2" spans="1:6" x14ac:dyDescent="0.25">
      <c r="A2" s="148" t="s">
        <v>320</v>
      </c>
      <c r="B2" s="148"/>
      <c r="C2" s="148"/>
      <c r="D2" s="148"/>
      <c r="E2" s="200"/>
    </row>
    <row r="3" spans="1:6" x14ac:dyDescent="0.25">
      <c r="A3" s="60" t="s">
        <v>319</v>
      </c>
    </row>
    <row r="4" spans="1:6" x14ac:dyDescent="0.25">
      <c r="A4" s="61" t="s">
        <v>198</v>
      </c>
    </row>
    <row r="5" spans="1:6" x14ac:dyDescent="0.25">
      <c r="A5" s="62" t="s">
        <v>259</v>
      </c>
      <c r="B5" s="63"/>
      <c r="C5" s="63"/>
      <c r="D5" s="63"/>
      <c r="E5" s="63"/>
    </row>
    <row r="6" spans="1:6" ht="17.25" customHeight="1" x14ac:dyDescent="0.25">
      <c r="A6" s="65" t="s">
        <v>20</v>
      </c>
      <c r="B6" s="65" t="s">
        <v>315</v>
      </c>
      <c r="C6" s="63"/>
      <c r="D6" s="63"/>
      <c r="E6" s="63"/>
    </row>
    <row r="7" spans="1:6" x14ac:dyDescent="0.25">
      <c r="A7" s="66" t="s">
        <v>21</v>
      </c>
      <c r="B7" s="67">
        <v>5000</v>
      </c>
      <c r="C7" s="63"/>
      <c r="D7" s="63"/>
      <c r="E7" s="63"/>
    </row>
    <row r="8" spans="1:6" x14ac:dyDescent="0.25">
      <c r="A8" s="66" t="s">
        <v>22</v>
      </c>
      <c r="B8" s="67">
        <v>111700</v>
      </c>
      <c r="C8" s="63"/>
      <c r="D8" s="63"/>
      <c r="E8" s="63"/>
    </row>
    <row r="9" spans="1:6" x14ac:dyDescent="0.25">
      <c r="A9" s="66" t="s">
        <v>23</v>
      </c>
      <c r="B9" s="67">
        <v>233800</v>
      </c>
      <c r="C9" s="63"/>
      <c r="D9" s="63"/>
      <c r="E9" s="63"/>
    </row>
    <row r="10" spans="1:6" x14ac:dyDescent="0.25">
      <c r="A10" s="66" t="s">
        <v>24</v>
      </c>
      <c r="B10" s="67">
        <v>1188200</v>
      </c>
      <c r="C10" s="63"/>
      <c r="D10" s="63"/>
      <c r="E10" s="63"/>
    </row>
    <row r="11" spans="1:6" x14ac:dyDescent="0.25">
      <c r="A11" s="66" t="s">
        <v>25</v>
      </c>
      <c r="B11" s="67">
        <v>13000000</v>
      </c>
      <c r="C11" s="63"/>
      <c r="D11" s="63"/>
      <c r="E11" s="63"/>
    </row>
    <row r="12" spans="1:6" x14ac:dyDescent="0.25">
      <c r="A12" s="66" t="s">
        <v>26</v>
      </c>
      <c r="B12" s="67">
        <v>217600</v>
      </c>
      <c r="C12" s="63"/>
      <c r="D12" s="63"/>
      <c r="E12" s="63"/>
    </row>
    <row r="13" spans="1:6" x14ac:dyDescent="0.25">
      <c r="A13" s="62" t="s">
        <v>351</v>
      </c>
      <c r="B13" s="63"/>
      <c r="C13" s="63"/>
      <c r="D13" s="63"/>
      <c r="E13" s="63"/>
    </row>
    <row r="14" spans="1:6" x14ac:dyDescent="0.25">
      <c r="A14" s="65" t="s">
        <v>27</v>
      </c>
      <c r="B14" s="65" t="s">
        <v>315</v>
      </c>
      <c r="C14" s="63"/>
      <c r="D14" s="63"/>
      <c r="E14" s="63"/>
    </row>
    <row r="15" spans="1:6" x14ac:dyDescent="0.25">
      <c r="A15" s="66" t="s">
        <v>260</v>
      </c>
      <c r="B15" s="67">
        <v>9100</v>
      </c>
      <c r="C15" s="63"/>
      <c r="D15" s="63"/>
      <c r="E15" s="63"/>
    </row>
    <row r="16" spans="1:6" x14ac:dyDescent="0.25">
      <c r="A16" s="66" t="s">
        <v>28</v>
      </c>
      <c r="B16" s="67">
        <v>313000</v>
      </c>
      <c r="C16" s="63"/>
      <c r="D16" s="63"/>
      <c r="E16" s="63"/>
    </row>
    <row r="17" spans="1:5" x14ac:dyDescent="0.25">
      <c r="A17" s="66" t="s">
        <v>29</v>
      </c>
      <c r="B17" s="67">
        <v>14022900</v>
      </c>
      <c r="C17" s="63"/>
      <c r="D17" s="63"/>
      <c r="E17" s="63"/>
    </row>
    <row r="18" spans="1:5" x14ac:dyDescent="0.25">
      <c r="A18" s="64" t="s">
        <v>198</v>
      </c>
      <c r="B18" s="63"/>
      <c r="C18" s="63"/>
      <c r="D18" s="63"/>
      <c r="E18" s="63"/>
    </row>
    <row r="19" spans="1:5" x14ac:dyDescent="0.25">
      <c r="A19" s="62" t="s">
        <v>261</v>
      </c>
      <c r="B19" s="63"/>
      <c r="C19" s="63"/>
      <c r="D19" s="63"/>
      <c r="E19" s="63"/>
    </row>
    <row r="20" spans="1:5" ht="15" customHeight="1" x14ac:dyDescent="0.25">
      <c r="A20" s="442" t="s">
        <v>30</v>
      </c>
      <c r="B20" s="442"/>
      <c r="C20" s="63"/>
      <c r="D20" s="63"/>
      <c r="E20" s="63"/>
    </row>
    <row r="21" spans="1:5" x14ac:dyDescent="0.25">
      <c r="A21" s="442" t="s">
        <v>262</v>
      </c>
      <c r="B21" s="442"/>
      <c r="C21" s="63"/>
      <c r="D21" s="63"/>
      <c r="E21" s="63"/>
    </row>
    <row r="22" spans="1:5" x14ac:dyDescent="0.25">
      <c r="A22" s="65" t="s">
        <v>31</v>
      </c>
      <c r="B22" s="65" t="s">
        <v>32</v>
      </c>
      <c r="C22" s="63"/>
      <c r="D22" s="63"/>
      <c r="E22" s="63"/>
    </row>
    <row r="23" spans="1:5" x14ac:dyDescent="0.25">
      <c r="A23" s="66" t="s">
        <v>33</v>
      </c>
      <c r="B23" s="68"/>
      <c r="C23" s="63"/>
      <c r="D23" s="63"/>
      <c r="E23" s="63"/>
    </row>
    <row r="24" spans="1:5" ht="18" x14ac:dyDescent="0.25">
      <c r="A24" s="66" t="s">
        <v>38</v>
      </c>
      <c r="B24" s="69">
        <v>17.899999999999999</v>
      </c>
      <c r="C24" s="63"/>
      <c r="D24" s="63"/>
      <c r="E24" s="63"/>
    </row>
    <row r="25" spans="1:5" ht="18" x14ac:dyDescent="0.25">
      <c r="A25" s="66" t="s">
        <v>39</v>
      </c>
      <c r="B25" s="69">
        <v>32.299999999999997</v>
      </c>
      <c r="C25" s="63"/>
      <c r="D25" s="63"/>
      <c r="E25" s="63"/>
    </row>
    <row r="26" spans="1:5" ht="18" x14ac:dyDescent="0.25">
      <c r="A26" s="66" t="s">
        <v>40</v>
      </c>
      <c r="B26" s="69">
        <v>19.600000000000001</v>
      </c>
      <c r="C26" s="63"/>
      <c r="D26" s="63"/>
      <c r="E26" s="63"/>
    </row>
    <row r="27" spans="1:5" x14ac:dyDescent="0.25">
      <c r="A27" s="66"/>
      <c r="B27" s="69"/>
      <c r="C27" s="63"/>
      <c r="D27" s="63"/>
      <c r="E27" s="63"/>
    </row>
    <row r="28" spans="1:5" ht="33" x14ac:dyDescent="0.25">
      <c r="A28" s="66" t="s">
        <v>41</v>
      </c>
      <c r="B28" s="69">
        <v>35.799999999999997</v>
      </c>
      <c r="C28" s="63"/>
      <c r="D28" s="63"/>
      <c r="E28" s="63"/>
    </row>
    <row r="29" spans="1:5" x14ac:dyDescent="0.25">
      <c r="A29" s="68"/>
      <c r="B29" s="69"/>
      <c r="C29" s="63"/>
      <c r="D29" s="63"/>
      <c r="E29" s="63"/>
    </row>
    <row r="30" spans="1:5" ht="18" x14ac:dyDescent="0.25">
      <c r="A30" s="66" t="s">
        <v>42</v>
      </c>
      <c r="B30" s="69"/>
      <c r="C30" s="63"/>
      <c r="D30" s="63"/>
      <c r="E30" s="63"/>
    </row>
    <row r="31" spans="1:5" x14ac:dyDescent="0.25">
      <c r="A31" s="66" t="s">
        <v>34</v>
      </c>
      <c r="B31" s="69">
        <v>33.5</v>
      </c>
      <c r="C31" s="63"/>
      <c r="D31" s="63"/>
      <c r="E31" s="63"/>
    </row>
    <row r="32" spans="1:5" x14ac:dyDescent="0.25">
      <c r="A32" s="66" t="s">
        <v>35</v>
      </c>
      <c r="B32" s="69">
        <v>36.5</v>
      </c>
      <c r="C32" s="63"/>
      <c r="D32" s="63"/>
      <c r="E32" s="63"/>
    </row>
    <row r="33" spans="1:5" x14ac:dyDescent="0.25">
      <c r="A33" s="66" t="s">
        <v>36</v>
      </c>
      <c r="B33" s="69">
        <v>63.3</v>
      </c>
      <c r="C33" s="63"/>
      <c r="D33" s="63"/>
      <c r="E33" s="63"/>
    </row>
    <row r="34" spans="1:5" x14ac:dyDescent="0.25">
      <c r="A34" s="66" t="s">
        <v>37</v>
      </c>
      <c r="B34" s="69">
        <v>53.5</v>
      </c>
      <c r="C34" s="63"/>
      <c r="D34" s="63"/>
      <c r="E34" s="63"/>
    </row>
    <row r="35" spans="1:5" x14ac:dyDescent="0.25">
      <c r="A35" s="71"/>
      <c r="B35" s="72"/>
      <c r="C35" s="63"/>
      <c r="D35" s="63"/>
      <c r="E35" s="63"/>
    </row>
    <row r="36" spans="1:5" ht="83.25" customHeight="1" x14ac:dyDescent="0.25">
      <c r="A36" s="443" t="s">
        <v>375</v>
      </c>
      <c r="B36" s="444"/>
      <c r="C36" s="63"/>
      <c r="D36" s="63"/>
      <c r="E36" s="63"/>
    </row>
    <row r="37" spans="1:5" ht="54" customHeight="1" x14ac:dyDescent="0.25">
      <c r="A37" s="443" t="s">
        <v>43</v>
      </c>
      <c r="B37" s="444"/>
      <c r="C37" s="63"/>
      <c r="D37" s="63"/>
      <c r="E37" s="63"/>
    </row>
    <row r="38" spans="1:5" ht="58.5" customHeight="1" x14ac:dyDescent="0.25">
      <c r="A38" s="443" t="s">
        <v>263</v>
      </c>
      <c r="B38" s="444"/>
      <c r="C38" s="63"/>
      <c r="D38" s="63"/>
      <c r="E38" s="63"/>
    </row>
    <row r="39" spans="1:5" ht="25.5" customHeight="1" x14ac:dyDescent="0.25">
      <c r="A39" s="447" t="s">
        <v>44</v>
      </c>
      <c r="B39" s="448"/>
      <c r="C39" s="63"/>
      <c r="D39" s="63"/>
      <c r="E39" s="63"/>
    </row>
    <row r="40" spans="1:5" ht="23.25" customHeight="1" x14ac:dyDescent="0.25">
      <c r="A40" s="449" t="s">
        <v>45</v>
      </c>
      <c r="B40" s="450"/>
      <c r="C40" s="63"/>
      <c r="D40" s="63"/>
      <c r="E40" s="63"/>
    </row>
    <row r="41" spans="1:5" x14ac:dyDescent="0.25">
      <c r="A41" s="5" t="s">
        <v>198</v>
      </c>
      <c r="B41" s="63"/>
      <c r="C41" s="63"/>
      <c r="D41" s="63"/>
      <c r="E41" s="63"/>
    </row>
    <row r="42" spans="1:5" x14ac:dyDescent="0.25">
      <c r="A42" s="62" t="s">
        <v>264</v>
      </c>
      <c r="B42" s="63"/>
      <c r="C42" s="63"/>
      <c r="D42" s="63"/>
      <c r="E42" s="63"/>
    </row>
    <row r="43" spans="1:5" x14ac:dyDescent="0.25">
      <c r="A43" s="73" t="s">
        <v>46</v>
      </c>
      <c r="B43" s="74" t="s">
        <v>47</v>
      </c>
      <c r="C43" s="63"/>
      <c r="D43" s="63"/>
      <c r="E43" s="63"/>
    </row>
    <row r="44" spans="1:5" ht="18" x14ac:dyDescent="0.25">
      <c r="A44" s="66" t="s">
        <v>51</v>
      </c>
      <c r="B44" s="75">
        <v>1.48</v>
      </c>
      <c r="C44" s="63"/>
      <c r="D44" s="63"/>
      <c r="E44" s="63"/>
    </row>
    <row r="45" spans="1:5" x14ac:dyDescent="0.25">
      <c r="A45" s="66" t="s">
        <v>48</v>
      </c>
      <c r="B45" s="75">
        <v>1.58</v>
      </c>
      <c r="C45" s="63"/>
      <c r="D45" s="63"/>
      <c r="E45" s="63"/>
    </row>
    <row r="46" spans="1:5" x14ac:dyDescent="0.25">
      <c r="A46" s="66" t="s">
        <v>49</v>
      </c>
      <c r="B46" s="75">
        <v>2.02</v>
      </c>
      <c r="C46" s="63"/>
      <c r="D46" s="63"/>
      <c r="E46" s="63"/>
    </row>
    <row r="47" spans="1:5" x14ac:dyDescent="0.25">
      <c r="A47" s="66" t="s">
        <v>50</v>
      </c>
      <c r="B47" s="75">
        <v>1.67</v>
      </c>
      <c r="C47" s="63"/>
      <c r="D47" s="63"/>
      <c r="E47" s="63"/>
    </row>
    <row r="48" spans="1:5" x14ac:dyDescent="0.25">
      <c r="A48" s="64"/>
      <c r="B48" s="70"/>
      <c r="C48" s="63"/>
      <c r="D48" s="63"/>
      <c r="E48" s="63"/>
    </row>
    <row r="49" spans="1:12" ht="45" customHeight="1" x14ac:dyDescent="0.25">
      <c r="A49" s="451" t="s">
        <v>52</v>
      </c>
      <c r="B49" s="452"/>
      <c r="C49" s="63"/>
      <c r="D49" s="63"/>
      <c r="E49" s="63"/>
    </row>
    <row r="50" spans="1:12" x14ac:dyDescent="0.25">
      <c r="A50" s="5" t="s">
        <v>198</v>
      </c>
      <c r="B50" s="63"/>
      <c r="C50" s="63"/>
      <c r="D50" s="63"/>
      <c r="E50" s="63"/>
    </row>
    <row r="51" spans="1:12" x14ac:dyDescent="0.25">
      <c r="A51" s="62" t="s">
        <v>265</v>
      </c>
      <c r="B51" s="63"/>
      <c r="C51" s="63"/>
      <c r="D51" s="63"/>
      <c r="E51" s="63"/>
    </row>
    <row r="52" spans="1:12" ht="30" customHeight="1" x14ac:dyDescent="0.25">
      <c r="A52" s="73" t="s">
        <v>46</v>
      </c>
      <c r="B52" s="74" t="s">
        <v>266</v>
      </c>
      <c r="C52" s="63"/>
      <c r="D52" s="63"/>
      <c r="E52" s="63"/>
    </row>
    <row r="53" spans="1:12" ht="18" x14ac:dyDescent="0.25">
      <c r="A53" s="66" t="s">
        <v>75</v>
      </c>
      <c r="B53" s="76">
        <v>0.52</v>
      </c>
      <c r="C53" s="63"/>
      <c r="D53" s="63"/>
      <c r="E53" s="63"/>
    </row>
    <row r="54" spans="1:12" ht="18" x14ac:dyDescent="0.25">
      <c r="A54" s="66" t="s">
        <v>76</v>
      </c>
      <c r="B54" s="76">
        <v>1.32</v>
      </c>
      <c r="C54" s="63"/>
      <c r="D54" s="63"/>
      <c r="E54" s="63"/>
    </row>
    <row r="55" spans="1:12" x14ac:dyDescent="0.25">
      <c r="A55" s="64"/>
      <c r="B55" s="70"/>
      <c r="C55" s="63"/>
      <c r="D55" s="63"/>
      <c r="E55" s="63"/>
    </row>
    <row r="56" spans="1:12" ht="68.25" customHeight="1" x14ac:dyDescent="0.25">
      <c r="A56" s="443" t="s">
        <v>53</v>
      </c>
      <c r="B56" s="444"/>
      <c r="C56" s="63"/>
      <c r="D56" s="63"/>
      <c r="E56" s="63"/>
    </row>
    <row r="57" spans="1:12" ht="72" customHeight="1" x14ac:dyDescent="0.25">
      <c r="A57" s="451" t="s">
        <v>54</v>
      </c>
      <c r="B57" s="452"/>
      <c r="C57" s="63"/>
      <c r="D57" s="63"/>
      <c r="E57" s="63"/>
    </row>
    <row r="58" spans="1:12" x14ac:dyDescent="0.25">
      <c r="A58" s="5" t="s">
        <v>198</v>
      </c>
      <c r="B58" s="63"/>
      <c r="C58" s="63"/>
      <c r="D58" s="63"/>
      <c r="E58" s="63"/>
      <c r="F58" s="205"/>
      <c r="G58" s="339"/>
      <c r="H58" s="339"/>
      <c r="I58" s="339"/>
      <c r="J58" s="339"/>
      <c r="K58" s="339"/>
    </row>
    <row r="59" spans="1:12" x14ac:dyDescent="0.25">
      <c r="A59" s="62" t="s">
        <v>267</v>
      </c>
      <c r="B59" s="63"/>
      <c r="C59" s="63"/>
      <c r="D59" s="63"/>
      <c r="E59" s="63"/>
      <c r="F59" s="205"/>
      <c r="G59" s="340"/>
      <c r="H59" s="340"/>
      <c r="I59" s="340"/>
      <c r="J59" s="340"/>
      <c r="K59" s="340"/>
      <c r="L59" s="340"/>
    </row>
    <row r="60" spans="1:12" x14ac:dyDescent="0.25">
      <c r="A60" s="77"/>
      <c r="B60" s="461" t="s">
        <v>279</v>
      </c>
      <c r="C60" s="462"/>
      <c r="D60" s="463"/>
      <c r="E60" s="63"/>
      <c r="F60" s="339"/>
      <c r="G60" s="198"/>
      <c r="H60" s="198"/>
      <c r="I60" s="341"/>
      <c r="J60" s="342"/>
      <c r="K60" s="342"/>
      <c r="L60" s="342"/>
    </row>
    <row r="61" spans="1:12" ht="18" x14ac:dyDescent="0.25">
      <c r="A61" s="77" t="s">
        <v>269</v>
      </c>
      <c r="B61" s="212" t="s">
        <v>281</v>
      </c>
      <c r="C61" s="212" t="s">
        <v>282</v>
      </c>
      <c r="D61" s="212" t="s">
        <v>283</v>
      </c>
      <c r="E61" s="63"/>
      <c r="F61" s="339"/>
      <c r="G61" s="198"/>
      <c r="H61" s="198"/>
      <c r="I61" s="341"/>
      <c r="J61" s="342"/>
      <c r="K61" s="342"/>
      <c r="L61" s="342"/>
    </row>
    <row r="62" spans="1:12" x14ac:dyDescent="0.25">
      <c r="A62" s="121" t="s">
        <v>270</v>
      </c>
      <c r="B62" s="121"/>
      <c r="C62" s="121"/>
      <c r="D62" s="122"/>
      <c r="E62" s="63"/>
      <c r="F62" s="205"/>
      <c r="G62" s="199"/>
      <c r="H62" s="199"/>
      <c r="I62" s="343"/>
      <c r="J62" s="344"/>
      <c r="K62" s="344"/>
      <c r="L62" s="344"/>
    </row>
    <row r="63" spans="1:12" x14ac:dyDescent="0.25">
      <c r="A63" s="193" t="s">
        <v>271</v>
      </c>
      <c r="B63" s="194">
        <v>273</v>
      </c>
      <c r="C63" s="194">
        <v>749</v>
      </c>
      <c r="D63" s="194">
        <v>28</v>
      </c>
      <c r="E63" s="63"/>
      <c r="G63" s="196"/>
      <c r="H63" s="196"/>
    </row>
    <row r="64" spans="1:12" x14ac:dyDescent="0.25">
      <c r="A64" s="66" t="s">
        <v>272</v>
      </c>
      <c r="B64" s="119">
        <v>299</v>
      </c>
      <c r="C64" s="119">
        <v>102</v>
      </c>
      <c r="D64" s="119">
        <v>26</v>
      </c>
      <c r="E64" s="63"/>
      <c r="F64" s="205"/>
      <c r="G64" s="339"/>
      <c r="H64" s="339"/>
      <c r="I64" s="339"/>
      <c r="J64" s="339"/>
      <c r="K64" s="339"/>
    </row>
    <row r="65" spans="1:14" x14ac:dyDescent="0.25">
      <c r="A65" s="66" t="s">
        <v>273</v>
      </c>
      <c r="B65" s="119">
        <v>747</v>
      </c>
      <c r="C65" s="119">
        <v>102</v>
      </c>
      <c r="D65" s="119">
        <v>26</v>
      </c>
      <c r="E65" s="63"/>
      <c r="F65" s="205"/>
      <c r="G65" s="340"/>
      <c r="H65" s="340"/>
      <c r="I65" s="340"/>
      <c r="J65" s="340"/>
      <c r="K65" s="340"/>
      <c r="L65" s="340"/>
    </row>
    <row r="66" spans="1:14" x14ac:dyDescent="0.25">
      <c r="A66" s="66" t="s">
        <v>274</v>
      </c>
      <c r="B66" s="119">
        <v>331</v>
      </c>
      <c r="C66" s="119">
        <v>102</v>
      </c>
      <c r="D66" s="119">
        <v>26</v>
      </c>
      <c r="E66" s="63"/>
      <c r="F66" s="339"/>
      <c r="G66" s="198"/>
      <c r="H66" s="198"/>
      <c r="I66" s="341"/>
      <c r="J66" s="342"/>
      <c r="K66" s="342"/>
      <c r="L66" s="342"/>
    </row>
    <row r="67" spans="1:14" x14ac:dyDescent="0.25">
      <c r="A67" s="121" t="s">
        <v>275</v>
      </c>
      <c r="B67" s="121"/>
      <c r="C67" s="121"/>
      <c r="D67" s="123"/>
      <c r="E67" s="63"/>
      <c r="F67" s="339"/>
      <c r="G67" s="198"/>
      <c r="H67" s="198"/>
      <c r="I67" s="341"/>
      <c r="J67" s="342"/>
      <c r="K67" s="342"/>
      <c r="L67" s="342"/>
    </row>
    <row r="68" spans="1:14" x14ac:dyDescent="0.25">
      <c r="A68" s="193" t="s">
        <v>271</v>
      </c>
      <c r="B68" s="194">
        <v>799</v>
      </c>
      <c r="C68" s="194">
        <v>2202</v>
      </c>
      <c r="D68" s="194">
        <v>280</v>
      </c>
      <c r="E68" s="63"/>
      <c r="F68" s="205"/>
      <c r="G68" s="199"/>
      <c r="H68" s="199"/>
      <c r="I68" s="343"/>
      <c r="J68" s="344"/>
      <c r="K68" s="344"/>
      <c r="L68" s="344"/>
    </row>
    <row r="69" spans="1:14" x14ac:dyDescent="0.25">
      <c r="A69" s="66" t="s">
        <v>272</v>
      </c>
      <c r="B69" s="119">
        <v>778</v>
      </c>
      <c r="C69" s="119">
        <v>727</v>
      </c>
      <c r="D69" s="119">
        <v>218</v>
      </c>
      <c r="E69" s="63"/>
    </row>
    <row r="70" spans="1:14" x14ac:dyDescent="0.25">
      <c r="A70" s="66" t="s">
        <v>273</v>
      </c>
      <c r="B70" s="119">
        <v>1226</v>
      </c>
      <c r="C70" s="119">
        <v>727</v>
      </c>
      <c r="D70" s="119">
        <v>218</v>
      </c>
      <c r="E70" s="63"/>
      <c r="F70" s="205"/>
      <c r="G70" s="339"/>
      <c r="H70" s="339"/>
      <c r="I70" s="339"/>
      <c r="J70" s="339"/>
      <c r="K70" s="339"/>
    </row>
    <row r="71" spans="1:14" x14ac:dyDescent="0.25">
      <c r="A71" s="66" t="s">
        <v>274</v>
      </c>
      <c r="B71" s="119">
        <v>810</v>
      </c>
      <c r="C71" s="119">
        <v>727</v>
      </c>
      <c r="D71" s="119">
        <v>218</v>
      </c>
      <c r="E71" s="63"/>
      <c r="F71" s="205"/>
      <c r="G71" s="340"/>
      <c r="H71" s="340"/>
      <c r="I71" s="340"/>
      <c r="J71" s="340"/>
      <c r="K71" s="340"/>
      <c r="L71" s="340"/>
    </row>
    <row r="72" spans="1:14" x14ac:dyDescent="0.25">
      <c r="A72" s="121" t="s">
        <v>276</v>
      </c>
      <c r="B72" s="121"/>
      <c r="C72" s="121"/>
      <c r="D72" s="124"/>
      <c r="E72" s="63"/>
      <c r="F72" s="339"/>
      <c r="G72" s="198"/>
      <c r="H72" s="198"/>
      <c r="I72" s="341"/>
      <c r="J72" s="342"/>
      <c r="K72" s="342"/>
      <c r="L72" s="342"/>
    </row>
    <row r="73" spans="1:14" x14ac:dyDescent="0.25">
      <c r="A73" s="193" t="s">
        <v>277</v>
      </c>
      <c r="B73" s="195">
        <v>1.03</v>
      </c>
      <c r="C73" s="120" t="s">
        <v>100</v>
      </c>
      <c r="D73" s="120" t="s">
        <v>100</v>
      </c>
      <c r="E73" s="63"/>
      <c r="F73" s="339"/>
      <c r="G73" s="198"/>
      <c r="H73" s="198"/>
      <c r="I73" s="341"/>
      <c r="J73" s="342"/>
      <c r="K73" s="342"/>
      <c r="L73" s="342"/>
    </row>
    <row r="74" spans="1:14" x14ac:dyDescent="0.25">
      <c r="A74" s="474" t="s">
        <v>280</v>
      </c>
      <c r="B74" s="474"/>
      <c r="C74" s="474"/>
      <c r="D74" s="475"/>
      <c r="E74" s="63"/>
      <c r="F74" s="205"/>
      <c r="G74" s="199"/>
      <c r="H74" s="199"/>
      <c r="I74" s="343"/>
      <c r="J74" s="344"/>
      <c r="K74" s="344"/>
      <c r="L74" s="344"/>
      <c r="M74" s="345"/>
      <c r="N74" s="346"/>
    </row>
    <row r="75" spans="1:14" ht="57.6" customHeight="1" x14ac:dyDescent="0.25">
      <c r="A75" s="459" t="s">
        <v>284</v>
      </c>
      <c r="B75" s="459"/>
      <c r="C75" s="459"/>
      <c r="D75" s="460"/>
      <c r="E75" s="63"/>
    </row>
    <row r="76" spans="1:14" x14ac:dyDescent="0.25">
      <c r="A76" s="5" t="s">
        <v>198</v>
      </c>
      <c r="B76" s="63"/>
      <c r="C76" s="63"/>
      <c r="D76" s="63"/>
      <c r="E76" s="63"/>
    </row>
    <row r="77" spans="1:14" x14ac:dyDescent="0.25">
      <c r="A77" s="62" t="s">
        <v>56</v>
      </c>
      <c r="B77" s="63"/>
      <c r="C77" s="63"/>
      <c r="D77" s="63"/>
      <c r="E77" s="63"/>
    </row>
    <row r="78" spans="1:14" ht="16.5" x14ac:dyDescent="0.25">
      <c r="A78" s="77" t="s">
        <v>55</v>
      </c>
      <c r="B78" s="74" t="s">
        <v>200</v>
      </c>
      <c r="C78" s="74" t="s">
        <v>201</v>
      </c>
      <c r="D78" s="74" t="s">
        <v>202</v>
      </c>
      <c r="E78" s="201" t="s">
        <v>203</v>
      </c>
    </row>
    <row r="79" spans="1:14" x14ac:dyDescent="0.25">
      <c r="A79" s="66">
        <v>2023</v>
      </c>
      <c r="B79" s="67">
        <v>19800</v>
      </c>
      <c r="C79" s="67">
        <v>52900</v>
      </c>
      <c r="D79" s="67">
        <v>951000</v>
      </c>
      <c r="E79" s="202">
        <v>228.37600706009624</v>
      </c>
    </row>
    <row r="80" spans="1:14" x14ac:dyDescent="0.25">
      <c r="A80" s="66">
        <v>2024</v>
      </c>
      <c r="B80" s="67">
        <v>20100</v>
      </c>
      <c r="C80" s="67">
        <v>53800</v>
      </c>
      <c r="D80" s="67">
        <v>963200</v>
      </c>
      <c r="E80" s="202">
        <v>232.85396798284322</v>
      </c>
    </row>
    <row r="81" spans="1:5" x14ac:dyDescent="0.25">
      <c r="A81" s="66">
        <v>2030</v>
      </c>
      <c r="B81" s="67">
        <v>20300</v>
      </c>
      <c r="C81" s="67">
        <v>54800</v>
      </c>
      <c r="D81" s="67">
        <v>975500</v>
      </c>
      <c r="E81" s="202">
        <v>237.33192890559022</v>
      </c>
    </row>
    <row r="82" spans="1:5" x14ac:dyDescent="0.25">
      <c r="A82" s="66">
        <v>2026</v>
      </c>
      <c r="B82" s="67">
        <v>20600</v>
      </c>
      <c r="C82" s="67">
        <v>56100</v>
      </c>
      <c r="D82" s="67">
        <v>993500</v>
      </c>
      <c r="E82" s="202">
        <v>240.69039959765044</v>
      </c>
    </row>
    <row r="83" spans="1:5" x14ac:dyDescent="0.25">
      <c r="A83" s="66">
        <v>2027</v>
      </c>
      <c r="B83" s="67">
        <v>21000</v>
      </c>
      <c r="C83" s="67">
        <v>57400</v>
      </c>
      <c r="D83" s="67">
        <v>1011900</v>
      </c>
      <c r="E83" s="202">
        <v>245.16836052039741</v>
      </c>
    </row>
    <row r="84" spans="1:5" x14ac:dyDescent="0.25">
      <c r="A84" s="66">
        <v>2028</v>
      </c>
      <c r="B84" s="67">
        <v>21300</v>
      </c>
      <c r="C84" s="67">
        <v>58700</v>
      </c>
      <c r="D84" s="67">
        <v>1030600</v>
      </c>
      <c r="E84" s="202">
        <v>249.64632144314442</v>
      </c>
    </row>
    <row r="85" spans="1:5" x14ac:dyDescent="0.25">
      <c r="A85" s="66">
        <v>2029</v>
      </c>
      <c r="B85" s="67">
        <v>21700</v>
      </c>
      <c r="C85" s="67">
        <v>60100</v>
      </c>
      <c r="D85" s="67">
        <v>1049600</v>
      </c>
      <c r="E85" s="202">
        <v>303.00479213520498</v>
      </c>
    </row>
    <row r="86" spans="1:5" x14ac:dyDescent="0.25">
      <c r="A86" s="66">
        <v>2030</v>
      </c>
      <c r="B86" s="67">
        <v>22000</v>
      </c>
      <c r="C86" s="67">
        <v>61500</v>
      </c>
      <c r="D86" s="67">
        <v>1069000</v>
      </c>
      <c r="E86" s="202">
        <v>307.48275305795198</v>
      </c>
    </row>
    <row r="87" spans="1:5" x14ac:dyDescent="0.25">
      <c r="A87" s="66">
        <v>2031</v>
      </c>
      <c r="B87" s="67">
        <v>22000</v>
      </c>
      <c r="C87" s="67">
        <v>61500</v>
      </c>
      <c r="D87" s="67">
        <v>1069000</v>
      </c>
      <c r="E87" s="202">
        <v>261.96071398069864</v>
      </c>
    </row>
    <row r="88" spans="1:5" x14ac:dyDescent="0.25">
      <c r="A88" s="66">
        <v>2032</v>
      </c>
      <c r="B88" s="67">
        <v>22000</v>
      </c>
      <c r="C88" s="67">
        <v>61500</v>
      </c>
      <c r="D88" s="67">
        <v>1069000</v>
      </c>
      <c r="E88" s="202">
        <v>265.31918467275887</v>
      </c>
    </row>
    <row r="89" spans="1:5" x14ac:dyDescent="0.25">
      <c r="A89" s="66">
        <v>2033</v>
      </c>
      <c r="B89" s="67">
        <v>22000</v>
      </c>
      <c r="C89" s="67">
        <v>61500</v>
      </c>
      <c r="D89" s="67">
        <v>1069000</v>
      </c>
      <c r="E89" s="202">
        <v>269.79714559550587</v>
      </c>
    </row>
    <row r="90" spans="1:5" x14ac:dyDescent="0.25">
      <c r="A90" s="66">
        <v>2034</v>
      </c>
      <c r="B90" s="67">
        <v>22000</v>
      </c>
      <c r="C90" s="67">
        <v>61500</v>
      </c>
      <c r="D90" s="67">
        <v>1069000</v>
      </c>
      <c r="E90" s="202">
        <v>274.27510651830301</v>
      </c>
    </row>
    <row r="91" spans="1:5" x14ac:dyDescent="0.25">
      <c r="A91" s="66">
        <v>2035</v>
      </c>
      <c r="B91" s="67">
        <v>22000</v>
      </c>
      <c r="C91" s="67">
        <v>61500</v>
      </c>
      <c r="D91" s="67">
        <v>1069000</v>
      </c>
      <c r="E91" s="202">
        <v>277.63357721031309</v>
      </c>
    </row>
    <row r="92" spans="1:5" x14ac:dyDescent="0.25">
      <c r="A92" s="66">
        <v>2036</v>
      </c>
      <c r="B92" s="67">
        <v>22000</v>
      </c>
      <c r="C92" s="67">
        <v>61500</v>
      </c>
      <c r="D92" s="67">
        <v>1069000</v>
      </c>
      <c r="E92" s="202">
        <v>282.11153813306004</v>
      </c>
    </row>
    <row r="93" spans="1:5" x14ac:dyDescent="0.25">
      <c r="A93" s="66">
        <v>2037</v>
      </c>
      <c r="B93" s="67">
        <v>22000</v>
      </c>
      <c r="C93" s="67">
        <v>61500</v>
      </c>
      <c r="D93" s="67">
        <v>1069000</v>
      </c>
      <c r="E93" s="202">
        <v>286.58949905580704</v>
      </c>
    </row>
    <row r="94" spans="1:5" x14ac:dyDescent="0.25">
      <c r="A94" s="66">
        <v>2038</v>
      </c>
      <c r="B94" s="67">
        <v>22000</v>
      </c>
      <c r="C94" s="67">
        <v>61500</v>
      </c>
      <c r="D94" s="67">
        <v>1069000</v>
      </c>
      <c r="E94" s="202">
        <v>289.94796974786726</v>
      </c>
    </row>
    <row r="95" spans="1:5" x14ac:dyDescent="0.25">
      <c r="A95" s="66">
        <v>2039</v>
      </c>
      <c r="B95" s="67">
        <v>22000</v>
      </c>
      <c r="C95" s="67">
        <v>61500</v>
      </c>
      <c r="D95" s="67">
        <v>1069000</v>
      </c>
      <c r="E95" s="202">
        <v>294.43093067061398</v>
      </c>
    </row>
    <row r="96" spans="1:5" x14ac:dyDescent="0.25">
      <c r="A96" s="66">
        <v>2040</v>
      </c>
      <c r="B96" s="67">
        <v>22000</v>
      </c>
      <c r="C96" s="67">
        <v>61500</v>
      </c>
      <c r="D96" s="67">
        <v>1069000</v>
      </c>
      <c r="E96" s="202">
        <v>298.90389159336127</v>
      </c>
    </row>
    <row r="97" spans="1:5" x14ac:dyDescent="0.25">
      <c r="A97" s="66">
        <v>2041</v>
      </c>
      <c r="B97" s="67">
        <v>22000</v>
      </c>
      <c r="C97" s="67">
        <v>61500</v>
      </c>
      <c r="D97" s="67">
        <v>1069000</v>
      </c>
      <c r="E97" s="202">
        <v>303.38185301610798</v>
      </c>
    </row>
    <row r="98" spans="1:5" x14ac:dyDescent="0.25">
      <c r="A98" s="66">
        <v>2042</v>
      </c>
      <c r="B98" s="67">
        <v>22000</v>
      </c>
      <c r="C98" s="67">
        <v>61500</v>
      </c>
      <c r="D98" s="67">
        <v>1069000</v>
      </c>
      <c r="E98" s="202">
        <v>307.85981343885521</v>
      </c>
    </row>
    <row r="99" spans="1:5" x14ac:dyDescent="0.25">
      <c r="A99" s="66">
        <v>2043</v>
      </c>
      <c r="B99" s="67">
        <v>22000</v>
      </c>
      <c r="C99" s="67">
        <v>61500</v>
      </c>
      <c r="D99" s="67">
        <v>1069000</v>
      </c>
      <c r="E99" s="202">
        <v>312.33777436160221</v>
      </c>
    </row>
    <row r="100" spans="1:5" x14ac:dyDescent="0.25">
      <c r="A100" s="66">
        <v>2044</v>
      </c>
      <c r="B100" s="67">
        <v>22000</v>
      </c>
      <c r="C100" s="67">
        <v>61500</v>
      </c>
      <c r="D100" s="67">
        <v>1069000</v>
      </c>
      <c r="E100" s="202">
        <v>316.81573528434916</v>
      </c>
    </row>
    <row r="101" spans="1:5" x14ac:dyDescent="0.25">
      <c r="A101" s="66">
        <v>2045</v>
      </c>
      <c r="B101" s="67">
        <v>22000</v>
      </c>
      <c r="C101" s="67">
        <v>61500</v>
      </c>
      <c r="D101" s="67">
        <v>1069000</v>
      </c>
      <c r="E101" s="202">
        <v>321.29369620709616</v>
      </c>
    </row>
    <row r="102" spans="1:5" x14ac:dyDescent="0.25">
      <c r="A102" s="66">
        <v>2046</v>
      </c>
      <c r="B102" s="67">
        <v>22000</v>
      </c>
      <c r="C102" s="67">
        <v>61500</v>
      </c>
      <c r="D102" s="67">
        <v>1069000</v>
      </c>
      <c r="E102" s="202">
        <v>330.77165712984299</v>
      </c>
    </row>
    <row r="103" spans="1:5" x14ac:dyDescent="0.25">
      <c r="A103" s="66">
        <v>2047</v>
      </c>
      <c r="B103" s="67">
        <v>22000</v>
      </c>
      <c r="C103" s="67">
        <v>61500</v>
      </c>
      <c r="D103" s="67">
        <v>1069000</v>
      </c>
      <c r="E103" s="202">
        <v>331.36910828327689</v>
      </c>
    </row>
    <row r="104" spans="1:5" x14ac:dyDescent="0.25">
      <c r="A104" s="66">
        <v>2048</v>
      </c>
      <c r="B104" s="67">
        <v>22000</v>
      </c>
      <c r="C104" s="67">
        <v>61500</v>
      </c>
      <c r="D104" s="67">
        <v>1069000</v>
      </c>
      <c r="E104" s="202">
        <v>335.84706920602389</v>
      </c>
    </row>
    <row r="105" spans="1:5" x14ac:dyDescent="0.25">
      <c r="A105" s="66">
        <v>2049</v>
      </c>
      <c r="B105" s="67">
        <v>22000</v>
      </c>
      <c r="C105" s="67">
        <v>61500</v>
      </c>
      <c r="D105" s="67">
        <v>1069000</v>
      </c>
      <c r="E105" s="202">
        <v>340.330030128771</v>
      </c>
    </row>
    <row r="106" spans="1:5" x14ac:dyDescent="0.25">
      <c r="A106" s="66">
        <v>2050</v>
      </c>
      <c r="B106" s="67">
        <v>22000</v>
      </c>
      <c r="C106" s="67">
        <v>61500</v>
      </c>
      <c r="D106" s="67">
        <v>1069000</v>
      </c>
      <c r="E106" s="202">
        <v>344.80299105151784</v>
      </c>
    </row>
    <row r="107" spans="1:5" x14ac:dyDescent="0.25">
      <c r="A107" s="66">
        <v>2051</v>
      </c>
      <c r="B107" s="67">
        <v>22000</v>
      </c>
      <c r="C107" s="67">
        <v>61500</v>
      </c>
      <c r="D107" s="67">
        <v>1069000</v>
      </c>
      <c r="E107" s="202">
        <v>349.28095197426484</v>
      </c>
    </row>
    <row r="108" spans="1:5" x14ac:dyDescent="0.25">
      <c r="A108" s="66">
        <v>2052</v>
      </c>
      <c r="B108" s="67">
        <v>22000</v>
      </c>
      <c r="C108" s="67">
        <v>61500</v>
      </c>
      <c r="D108" s="67">
        <v>1069000</v>
      </c>
      <c r="E108" s="79">
        <v>352.63942266633001</v>
      </c>
    </row>
    <row r="109" spans="1:5" x14ac:dyDescent="0.25">
      <c r="A109" s="66">
        <v>2053</v>
      </c>
      <c r="B109" s="67">
        <v>22000</v>
      </c>
      <c r="C109" s="67">
        <v>61500</v>
      </c>
      <c r="D109" s="67">
        <v>1069000</v>
      </c>
      <c r="E109" s="79">
        <v>357.11738358907206</v>
      </c>
    </row>
    <row r="110" spans="1:5" x14ac:dyDescent="0.25">
      <c r="A110" s="78"/>
      <c r="B110" s="79"/>
      <c r="C110" s="79"/>
      <c r="D110" s="79"/>
      <c r="E110" s="79"/>
    </row>
    <row r="111" spans="1:5" x14ac:dyDescent="0.25">
      <c r="A111" s="453" t="s">
        <v>268</v>
      </c>
      <c r="B111" s="454"/>
      <c r="C111" s="454"/>
      <c r="D111" s="454"/>
      <c r="E111" s="455"/>
    </row>
    <row r="112" spans="1:5" ht="16.5" x14ac:dyDescent="0.25">
      <c r="A112" s="456" t="s">
        <v>77</v>
      </c>
      <c r="B112" s="457"/>
      <c r="C112" s="457"/>
      <c r="D112" s="457"/>
      <c r="E112" s="458"/>
    </row>
    <row r="113" spans="1:5" x14ac:dyDescent="0.25">
      <c r="A113" s="5" t="s">
        <v>198</v>
      </c>
      <c r="B113" s="63"/>
      <c r="C113" s="63"/>
      <c r="D113" s="63"/>
      <c r="E113" s="63"/>
    </row>
    <row r="114" spans="1:5" x14ac:dyDescent="0.25">
      <c r="A114" s="62" t="s">
        <v>57</v>
      </c>
      <c r="B114" s="63"/>
      <c r="C114" s="63"/>
      <c r="D114" s="63"/>
      <c r="E114" s="63"/>
    </row>
    <row r="115" spans="1:5" ht="34.5" customHeight="1" x14ac:dyDescent="0.25">
      <c r="A115" s="73" t="s">
        <v>58</v>
      </c>
      <c r="B115" s="74" t="s">
        <v>285</v>
      </c>
      <c r="C115" s="63"/>
      <c r="D115" s="63"/>
      <c r="E115" s="63"/>
    </row>
    <row r="116" spans="1:5" x14ac:dyDescent="0.25">
      <c r="A116" s="80">
        <v>2003</v>
      </c>
      <c r="B116" s="75">
        <v>1.53</v>
      </c>
      <c r="C116" s="63"/>
      <c r="D116" s="63"/>
      <c r="E116" s="63"/>
    </row>
    <row r="117" spans="1:5" x14ac:dyDescent="0.25">
      <c r="A117" s="80">
        <v>2004</v>
      </c>
      <c r="B117" s="75">
        <v>1.49</v>
      </c>
      <c r="C117" s="63"/>
      <c r="D117" s="63"/>
      <c r="E117" s="63"/>
    </row>
    <row r="118" spans="1:5" x14ac:dyDescent="0.25">
      <c r="A118" s="80">
        <v>2005</v>
      </c>
      <c r="B118" s="75">
        <v>1.45</v>
      </c>
      <c r="C118" s="63"/>
      <c r="D118" s="63"/>
      <c r="E118" s="63"/>
    </row>
    <row r="119" spans="1:5" x14ac:dyDescent="0.25">
      <c r="A119" s="80">
        <v>2006</v>
      </c>
      <c r="B119" s="75">
        <v>1.4</v>
      </c>
      <c r="C119" s="63"/>
      <c r="D119" s="63"/>
      <c r="E119" s="63"/>
    </row>
    <row r="120" spans="1:5" x14ac:dyDescent="0.25">
      <c r="A120" s="80">
        <v>2007</v>
      </c>
      <c r="B120" s="75">
        <v>1.37</v>
      </c>
      <c r="C120" s="63"/>
      <c r="D120" s="63"/>
      <c r="E120" s="63"/>
    </row>
    <row r="121" spans="1:5" x14ac:dyDescent="0.25">
      <c r="A121" s="80">
        <v>2008</v>
      </c>
      <c r="B121" s="75">
        <v>1.34</v>
      </c>
      <c r="C121" s="63"/>
      <c r="D121" s="63"/>
      <c r="E121" s="63"/>
    </row>
    <row r="122" spans="1:5" x14ac:dyDescent="0.25">
      <c r="A122" s="80">
        <v>2009</v>
      </c>
      <c r="B122" s="75">
        <v>1.33</v>
      </c>
      <c r="C122" s="63"/>
      <c r="D122" s="63"/>
      <c r="E122" s="63"/>
    </row>
    <row r="123" spans="1:5" x14ac:dyDescent="0.25">
      <c r="A123" s="80">
        <v>2010</v>
      </c>
      <c r="B123" s="75">
        <v>1.32</v>
      </c>
      <c r="C123" s="63"/>
      <c r="D123" s="63"/>
      <c r="E123" s="63"/>
    </row>
    <row r="124" spans="1:5" x14ac:dyDescent="0.25">
      <c r="A124" s="80">
        <v>2011</v>
      </c>
      <c r="B124" s="75">
        <v>1.29</v>
      </c>
      <c r="C124" s="63"/>
      <c r="D124" s="63"/>
      <c r="E124" s="63"/>
    </row>
    <row r="125" spans="1:5" x14ac:dyDescent="0.25">
      <c r="A125" s="80">
        <v>2012</v>
      </c>
      <c r="B125" s="75">
        <v>1.27</v>
      </c>
      <c r="C125" s="63"/>
      <c r="D125" s="63"/>
      <c r="E125" s="63"/>
    </row>
    <row r="126" spans="1:5" x14ac:dyDescent="0.25">
      <c r="A126" s="80">
        <v>2013</v>
      </c>
      <c r="B126" s="75">
        <v>1.24</v>
      </c>
      <c r="C126" s="63"/>
      <c r="D126" s="63"/>
      <c r="E126" s="63"/>
    </row>
    <row r="127" spans="1:5" x14ac:dyDescent="0.25">
      <c r="A127" s="80">
        <v>2014</v>
      </c>
      <c r="B127" s="75">
        <v>1.22</v>
      </c>
      <c r="C127" s="63"/>
      <c r="D127" s="63"/>
      <c r="E127" s="63"/>
    </row>
    <row r="128" spans="1:5" x14ac:dyDescent="0.25">
      <c r="A128" s="80">
        <v>2015</v>
      </c>
      <c r="B128" s="75">
        <v>1.21</v>
      </c>
      <c r="C128" s="63"/>
      <c r="D128" s="63"/>
      <c r="E128" s="63"/>
    </row>
    <row r="129" spans="1:5" x14ac:dyDescent="0.25">
      <c r="A129" s="80">
        <v>2016</v>
      </c>
      <c r="B129" s="75">
        <v>1.2</v>
      </c>
      <c r="C129" s="63"/>
      <c r="D129" s="63"/>
      <c r="E129" s="63"/>
    </row>
    <row r="130" spans="1:5" x14ac:dyDescent="0.25">
      <c r="A130" s="80">
        <v>2017</v>
      </c>
      <c r="B130" s="75">
        <v>1.18</v>
      </c>
      <c r="C130" s="63"/>
      <c r="D130" s="63"/>
      <c r="E130" s="63"/>
    </row>
    <row r="131" spans="1:5" x14ac:dyDescent="0.25">
      <c r="A131" s="80">
        <v>2018</v>
      </c>
      <c r="B131" s="75">
        <v>1.1499999999999999</v>
      </c>
      <c r="C131" s="63"/>
      <c r="D131" s="63"/>
      <c r="E131" s="63"/>
    </row>
    <row r="132" spans="1:5" x14ac:dyDescent="0.25">
      <c r="A132" s="80">
        <v>2019</v>
      </c>
      <c r="B132" s="75">
        <v>1.1299999999999999</v>
      </c>
      <c r="C132" s="63"/>
      <c r="D132" s="63"/>
      <c r="E132" s="63"/>
    </row>
    <row r="133" spans="1:5" x14ac:dyDescent="0.25">
      <c r="A133" s="80">
        <v>2020</v>
      </c>
      <c r="B133" s="75">
        <v>1.1200000000000001</v>
      </c>
      <c r="C133" s="63"/>
      <c r="D133" s="63"/>
      <c r="E133" s="63"/>
    </row>
    <row r="134" spans="1:5" x14ac:dyDescent="0.25">
      <c r="A134" s="80">
        <v>2021</v>
      </c>
      <c r="B134" s="75">
        <v>1.07</v>
      </c>
      <c r="C134" s="63"/>
      <c r="D134" s="63"/>
      <c r="E134" s="63"/>
    </row>
    <row r="135" spans="1:5" x14ac:dyDescent="0.25">
      <c r="A135" s="80">
        <v>2022</v>
      </c>
      <c r="B135" s="75">
        <v>1</v>
      </c>
      <c r="C135" s="63"/>
      <c r="D135" s="63"/>
      <c r="E135" s="63"/>
    </row>
    <row r="136" spans="1:5" x14ac:dyDescent="0.25">
      <c r="A136" s="5" t="s">
        <v>198</v>
      </c>
      <c r="B136" s="63"/>
      <c r="C136" s="63"/>
      <c r="D136" s="63"/>
      <c r="E136" s="63"/>
    </row>
    <row r="137" spans="1:5" x14ac:dyDescent="0.25">
      <c r="A137" s="62" t="s">
        <v>59</v>
      </c>
      <c r="B137" s="63"/>
      <c r="C137" s="63"/>
      <c r="D137" s="63"/>
      <c r="E137" s="63"/>
    </row>
    <row r="138" spans="1:5" ht="51.75" customHeight="1" x14ac:dyDescent="0.25">
      <c r="A138" s="73" t="s">
        <v>60</v>
      </c>
      <c r="B138" s="74" t="s">
        <v>286</v>
      </c>
      <c r="C138" s="63"/>
      <c r="D138" s="63"/>
      <c r="E138" s="63"/>
    </row>
    <row r="139" spans="1:5" ht="18" x14ac:dyDescent="0.25">
      <c r="A139" s="81" t="s">
        <v>78</v>
      </c>
      <c r="B139" s="69">
        <v>0.11</v>
      </c>
      <c r="C139" s="63"/>
      <c r="D139" s="63"/>
      <c r="E139" s="63"/>
    </row>
    <row r="140" spans="1:5" x14ac:dyDescent="0.25">
      <c r="A140" s="81" t="s">
        <v>61</v>
      </c>
      <c r="B140" s="69">
        <v>1.1100000000000001</v>
      </c>
      <c r="C140" s="63"/>
      <c r="D140" s="63"/>
      <c r="E140" s="63"/>
    </row>
    <row r="141" spans="1:5" x14ac:dyDescent="0.25">
      <c r="A141" s="81" t="s">
        <v>79</v>
      </c>
      <c r="B141" s="69">
        <v>0.09</v>
      </c>
      <c r="C141" s="63"/>
      <c r="D141" s="63"/>
      <c r="E141" s="63"/>
    </row>
    <row r="142" spans="1:5" ht="30" customHeight="1" x14ac:dyDescent="0.25">
      <c r="A142" s="82" t="s">
        <v>62</v>
      </c>
      <c r="B142" s="83">
        <v>1E-3</v>
      </c>
      <c r="C142" s="63"/>
      <c r="D142" s="63"/>
      <c r="E142" s="63"/>
    </row>
    <row r="143" spans="1:5" x14ac:dyDescent="0.25">
      <c r="A143" s="5" t="s">
        <v>198</v>
      </c>
      <c r="B143" s="4"/>
      <c r="C143" s="63"/>
      <c r="D143" s="63"/>
      <c r="E143" s="63"/>
    </row>
    <row r="144" spans="1:5" ht="33" x14ac:dyDescent="0.25">
      <c r="A144" s="73" t="s">
        <v>60</v>
      </c>
      <c r="B144" s="74" t="s">
        <v>287</v>
      </c>
      <c r="C144" s="63"/>
      <c r="D144" s="63"/>
      <c r="E144" s="63"/>
    </row>
    <row r="145" spans="1:5" ht="34.5" customHeight="1" x14ac:dyDescent="0.25">
      <c r="A145" s="82" t="s">
        <v>80</v>
      </c>
      <c r="B145" s="69">
        <v>0.19</v>
      </c>
      <c r="C145" s="63"/>
      <c r="D145" s="63"/>
      <c r="E145" s="63"/>
    </row>
    <row r="146" spans="1:5" ht="35.25" customHeight="1" x14ac:dyDescent="0.25">
      <c r="A146" s="82" t="s">
        <v>63</v>
      </c>
      <c r="B146" s="69">
        <v>0.51</v>
      </c>
      <c r="C146" s="63"/>
      <c r="D146" s="63"/>
      <c r="E146" s="63"/>
    </row>
    <row r="147" spans="1:5" x14ac:dyDescent="0.25">
      <c r="A147" s="84"/>
      <c r="B147" s="85"/>
      <c r="C147" s="63"/>
      <c r="D147" s="63"/>
      <c r="E147" s="63"/>
    </row>
    <row r="148" spans="1:5" ht="111" customHeight="1" x14ac:dyDescent="0.25">
      <c r="A148" s="443" t="s">
        <v>64</v>
      </c>
      <c r="B148" s="473"/>
      <c r="C148" s="63"/>
      <c r="D148" s="63"/>
      <c r="E148" s="63"/>
    </row>
    <row r="149" spans="1:5" ht="36" customHeight="1" thickBot="1" x14ac:dyDescent="0.3">
      <c r="A149" s="445" t="s">
        <v>65</v>
      </c>
      <c r="B149" s="446"/>
      <c r="C149" s="63"/>
      <c r="D149" s="63"/>
      <c r="E149" s="63"/>
    </row>
    <row r="150" spans="1:5" x14ac:dyDescent="0.25">
      <c r="A150" s="5" t="s">
        <v>198</v>
      </c>
      <c r="B150" s="63"/>
      <c r="C150" s="63"/>
      <c r="D150" s="63"/>
      <c r="E150" s="63"/>
    </row>
    <row r="151" spans="1:5" x14ac:dyDescent="0.25">
      <c r="A151" s="62" t="s">
        <v>66</v>
      </c>
      <c r="B151" s="63"/>
      <c r="C151" s="63"/>
      <c r="D151" s="63"/>
      <c r="E151" s="63"/>
    </row>
    <row r="152" spans="1:5" ht="36.75" customHeight="1" x14ac:dyDescent="0.25">
      <c r="A152" s="73" t="s">
        <v>67</v>
      </c>
      <c r="B152" s="74" t="s">
        <v>288</v>
      </c>
      <c r="C152" s="63"/>
      <c r="D152" s="63"/>
      <c r="E152" s="63"/>
    </row>
    <row r="153" spans="1:5" x14ac:dyDescent="0.25">
      <c r="A153" s="66" t="s">
        <v>68</v>
      </c>
      <c r="B153" s="76">
        <v>1.57</v>
      </c>
      <c r="C153" s="63"/>
      <c r="D153" s="63"/>
      <c r="E153" s="63"/>
    </row>
    <row r="154" spans="1:5" ht="18" x14ac:dyDescent="0.25">
      <c r="A154" s="66" t="s">
        <v>72</v>
      </c>
      <c r="B154" s="76">
        <v>1.97</v>
      </c>
      <c r="C154" s="63"/>
      <c r="D154" s="63"/>
      <c r="E154" s="63"/>
    </row>
    <row r="155" spans="1:5" x14ac:dyDescent="0.25">
      <c r="A155" s="66" t="s">
        <v>69</v>
      </c>
      <c r="B155" s="76">
        <v>1.86</v>
      </c>
      <c r="C155" s="63"/>
      <c r="D155" s="63"/>
      <c r="E155" s="63"/>
    </row>
    <row r="156" spans="1:5" x14ac:dyDescent="0.25">
      <c r="A156" s="66" t="s">
        <v>70</v>
      </c>
      <c r="B156" s="76">
        <v>0.28999999999999998</v>
      </c>
      <c r="C156" s="63"/>
      <c r="D156" s="63"/>
      <c r="E156" s="63"/>
    </row>
    <row r="157" spans="1:5" x14ac:dyDescent="0.25">
      <c r="A157" s="66" t="s">
        <v>71</v>
      </c>
      <c r="B157" s="76">
        <v>1.86</v>
      </c>
      <c r="C157" s="63"/>
      <c r="D157" s="63"/>
      <c r="E157" s="63"/>
    </row>
    <row r="158" spans="1:5" x14ac:dyDescent="0.25">
      <c r="A158" s="64"/>
      <c r="B158" s="4"/>
      <c r="C158" s="63"/>
      <c r="D158" s="63"/>
      <c r="E158" s="63"/>
    </row>
    <row r="159" spans="1:5" ht="153.75" customHeight="1" x14ac:dyDescent="0.25">
      <c r="A159" s="443" t="s">
        <v>74</v>
      </c>
      <c r="B159" s="473"/>
      <c r="C159" s="63"/>
      <c r="D159" s="63"/>
      <c r="E159" s="63"/>
    </row>
    <row r="160" spans="1:5" ht="50.25" customHeight="1" thickBot="1" x14ac:dyDescent="0.3">
      <c r="A160" s="445" t="s">
        <v>73</v>
      </c>
      <c r="B160" s="446"/>
      <c r="C160" s="63"/>
      <c r="D160" s="63"/>
      <c r="E160" s="63"/>
    </row>
    <row r="161" spans="1:4" x14ac:dyDescent="0.25">
      <c r="A161" s="5" t="s">
        <v>198</v>
      </c>
    </row>
    <row r="162" spans="1:4" x14ac:dyDescent="0.25">
      <c r="A162" s="62" t="s">
        <v>81</v>
      </c>
    </row>
    <row r="163" spans="1:4" ht="15.75" customHeight="1" x14ac:dyDescent="0.25">
      <c r="A163" s="465" t="s">
        <v>82</v>
      </c>
      <c r="B163" s="466" t="s">
        <v>289</v>
      </c>
      <c r="C163" s="466"/>
      <c r="D163" s="466"/>
    </row>
    <row r="164" spans="1:4" ht="37.5" customHeight="1" x14ac:dyDescent="0.25">
      <c r="A164" s="465"/>
      <c r="B164" s="74" t="s">
        <v>84</v>
      </c>
      <c r="C164" s="74" t="s">
        <v>86</v>
      </c>
      <c r="D164" s="74" t="s">
        <v>85</v>
      </c>
    </row>
    <row r="165" spans="1:4" x14ac:dyDescent="0.25">
      <c r="A165" s="86" t="s">
        <v>87</v>
      </c>
      <c r="B165" s="87">
        <v>0.02</v>
      </c>
      <c r="C165" s="87">
        <v>0.02</v>
      </c>
      <c r="D165" s="87">
        <v>7.0000000000000007E-2</v>
      </c>
    </row>
    <row r="166" spans="1:4" x14ac:dyDescent="0.25">
      <c r="A166" s="86" t="s">
        <v>88</v>
      </c>
      <c r="B166" s="87">
        <v>0.32</v>
      </c>
      <c r="C166" s="87">
        <v>0.16</v>
      </c>
      <c r="D166" s="87">
        <v>0.9</v>
      </c>
    </row>
    <row r="167" spans="1:4" x14ac:dyDescent="0.25">
      <c r="A167" s="86" t="s">
        <v>89</v>
      </c>
      <c r="B167" s="87">
        <v>0.3</v>
      </c>
      <c r="C167" s="87">
        <v>0.3</v>
      </c>
      <c r="D167" s="87">
        <v>0.11</v>
      </c>
    </row>
    <row r="168" spans="1:4" x14ac:dyDescent="0.25">
      <c r="A168" s="86" t="s">
        <v>90</v>
      </c>
      <c r="B168" s="87">
        <v>0.32</v>
      </c>
      <c r="C168" s="87">
        <v>0.05</v>
      </c>
      <c r="D168" s="87">
        <v>0.1</v>
      </c>
    </row>
    <row r="169" spans="1:4" ht="18" x14ac:dyDescent="0.25">
      <c r="A169" s="86" t="s">
        <v>106</v>
      </c>
      <c r="B169" s="87">
        <v>0.2</v>
      </c>
      <c r="C169" s="87">
        <v>0.14000000000000001</v>
      </c>
      <c r="D169" s="87">
        <v>0.13</v>
      </c>
    </row>
    <row r="170" spans="1:4" ht="18" x14ac:dyDescent="0.25">
      <c r="A170" s="86" t="s">
        <v>107</v>
      </c>
      <c r="B170" s="87">
        <v>0.26</v>
      </c>
      <c r="C170" s="87">
        <v>0.17</v>
      </c>
      <c r="D170" s="87">
        <v>0.13</v>
      </c>
    </row>
    <row r="171" spans="1:4" x14ac:dyDescent="0.25">
      <c r="A171" s="86" t="s">
        <v>91</v>
      </c>
      <c r="B171" s="87">
        <v>0.15</v>
      </c>
      <c r="C171" s="87">
        <v>0.15</v>
      </c>
      <c r="D171" s="87">
        <v>0.11</v>
      </c>
    </row>
    <row r="172" spans="1:4" x14ac:dyDescent="0.25">
      <c r="A172" s="86" t="s">
        <v>92</v>
      </c>
      <c r="B172" s="87">
        <v>0.11</v>
      </c>
      <c r="C172" s="87">
        <v>0.11</v>
      </c>
      <c r="D172" s="87">
        <v>0.06</v>
      </c>
    </row>
    <row r="173" spans="1:4" x14ac:dyDescent="0.25">
      <c r="A173" s="86" t="s">
        <v>93</v>
      </c>
      <c r="B173" s="87">
        <v>0.08</v>
      </c>
      <c r="C173" s="87">
        <v>0.02</v>
      </c>
      <c r="D173" s="87">
        <v>0.19</v>
      </c>
    </row>
    <row r="174" spans="1:4" x14ac:dyDescent="0.25">
      <c r="A174" s="86" t="s">
        <v>94</v>
      </c>
      <c r="B174" s="87">
        <v>0.33</v>
      </c>
      <c r="C174" s="87">
        <v>0.33</v>
      </c>
      <c r="D174" s="87">
        <v>0.21</v>
      </c>
    </row>
    <row r="175" spans="1:4" x14ac:dyDescent="0.25">
      <c r="A175" s="86" t="s">
        <v>95</v>
      </c>
      <c r="B175" s="87">
        <v>0.43</v>
      </c>
      <c r="C175" s="87">
        <v>0.08</v>
      </c>
      <c r="D175" s="87">
        <v>7.0000000000000007E-2</v>
      </c>
    </row>
    <row r="176" spans="1:4" x14ac:dyDescent="0.25">
      <c r="A176" s="86" t="s">
        <v>96</v>
      </c>
      <c r="B176" s="87">
        <v>0.32</v>
      </c>
      <c r="C176" s="87">
        <v>0.32</v>
      </c>
      <c r="D176" s="87">
        <v>0.33</v>
      </c>
    </row>
    <row r="177" spans="1:4" ht="18" x14ac:dyDescent="0.25">
      <c r="A177" s="86" t="s">
        <v>108</v>
      </c>
      <c r="B177" s="87">
        <v>0.65</v>
      </c>
      <c r="C177" s="87">
        <v>0.65</v>
      </c>
      <c r="D177" s="87">
        <v>0.65</v>
      </c>
    </row>
    <row r="178" spans="1:4" x14ac:dyDescent="0.25">
      <c r="A178" s="86" t="s">
        <v>97</v>
      </c>
      <c r="B178" s="87">
        <v>0.11</v>
      </c>
      <c r="C178" s="87">
        <v>0.11</v>
      </c>
      <c r="D178" s="87">
        <v>7.0000000000000007E-2</v>
      </c>
    </row>
    <row r="179" spans="1:4" x14ac:dyDescent="0.25">
      <c r="A179" s="86" t="s">
        <v>98</v>
      </c>
      <c r="B179" s="87">
        <v>0.24</v>
      </c>
      <c r="C179" s="87">
        <v>0.1</v>
      </c>
      <c r="D179" s="87">
        <v>0.5</v>
      </c>
    </row>
    <row r="180" spans="1:4" x14ac:dyDescent="0.25">
      <c r="A180" s="86" t="s">
        <v>99</v>
      </c>
      <c r="B180" s="88" t="s">
        <v>100</v>
      </c>
      <c r="C180" s="88" t="s">
        <v>100</v>
      </c>
      <c r="D180" s="87">
        <v>0.1</v>
      </c>
    </row>
    <row r="181" spans="1:4" x14ac:dyDescent="0.25">
      <c r="A181" s="86" t="s">
        <v>101</v>
      </c>
      <c r="B181" s="88" t="s">
        <v>100</v>
      </c>
      <c r="C181" s="88" t="s">
        <v>100</v>
      </c>
      <c r="D181" s="87">
        <v>0.12</v>
      </c>
    </row>
    <row r="182" spans="1:4" x14ac:dyDescent="0.25">
      <c r="A182" s="86" t="s">
        <v>102</v>
      </c>
      <c r="B182" s="88" t="s">
        <v>100</v>
      </c>
      <c r="C182" s="88" t="s">
        <v>100</v>
      </c>
      <c r="D182" s="87">
        <v>7.0000000000000007E-2</v>
      </c>
    </row>
    <row r="183" spans="1:4" x14ac:dyDescent="0.25">
      <c r="A183" s="86" t="s">
        <v>103</v>
      </c>
      <c r="B183" s="88" t="s">
        <v>100</v>
      </c>
      <c r="C183" s="88" t="s">
        <v>100</v>
      </c>
      <c r="D183" s="87">
        <v>0.04</v>
      </c>
    </row>
    <row r="184" spans="1:4" x14ac:dyDescent="0.25">
      <c r="A184" s="86" t="s">
        <v>104</v>
      </c>
      <c r="B184" s="88" t="s">
        <v>100</v>
      </c>
      <c r="C184" s="88" t="s">
        <v>100</v>
      </c>
      <c r="D184" s="87">
        <v>0.1</v>
      </c>
    </row>
    <row r="185" spans="1:4" x14ac:dyDescent="0.25">
      <c r="A185" s="86" t="s">
        <v>105</v>
      </c>
      <c r="B185" s="88" t="s">
        <v>100</v>
      </c>
      <c r="C185" s="88" t="s">
        <v>100</v>
      </c>
      <c r="D185" s="87">
        <v>0.05</v>
      </c>
    </row>
    <row r="186" spans="1:4" ht="18" x14ac:dyDescent="0.25">
      <c r="A186" s="86" t="s">
        <v>109</v>
      </c>
      <c r="B186" s="88" t="s">
        <v>100</v>
      </c>
      <c r="C186" s="88" t="s">
        <v>100</v>
      </c>
      <c r="D186" s="87">
        <v>0.21</v>
      </c>
    </row>
    <row r="187" spans="1:4" x14ac:dyDescent="0.25">
      <c r="A187" s="89"/>
      <c r="B187" s="58"/>
      <c r="C187" s="58"/>
      <c r="D187" s="59"/>
    </row>
    <row r="188" spans="1:4" ht="63.75" customHeight="1" x14ac:dyDescent="0.25">
      <c r="A188" s="451" t="s">
        <v>110</v>
      </c>
      <c r="B188" s="464"/>
      <c r="C188" s="464"/>
      <c r="D188" s="452"/>
    </row>
    <row r="189" spans="1:4" x14ac:dyDescent="0.25">
      <c r="A189" s="5" t="s">
        <v>198</v>
      </c>
    </row>
    <row r="190" spans="1:4" x14ac:dyDescent="0.25">
      <c r="A190" s="62" t="s">
        <v>111</v>
      </c>
    </row>
    <row r="191" spans="1:4" x14ac:dyDescent="0.25">
      <c r="A191" s="465" t="s">
        <v>82</v>
      </c>
      <c r="B191" s="466" t="s">
        <v>289</v>
      </c>
      <c r="C191" s="466"/>
      <c r="D191" s="466"/>
    </row>
    <row r="192" spans="1:4" x14ac:dyDescent="0.25">
      <c r="A192" s="465"/>
      <c r="B192" s="74" t="s">
        <v>83</v>
      </c>
      <c r="C192" s="74" t="s">
        <v>112</v>
      </c>
      <c r="D192" s="74" t="s">
        <v>113</v>
      </c>
    </row>
    <row r="193" spans="1:4" x14ac:dyDescent="0.25">
      <c r="A193" s="86" t="s">
        <v>88</v>
      </c>
      <c r="B193" s="87">
        <v>0.23</v>
      </c>
      <c r="C193" s="87">
        <v>0.23</v>
      </c>
      <c r="D193" s="87">
        <v>0.23</v>
      </c>
    </row>
    <row r="194" spans="1:4" x14ac:dyDescent="0.25">
      <c r="A194" s="86" t="s">
        <v>114</v>
      </c>
      <c r="B194" s="87">
        <v>0.13</v>
      </c>
      <c r="C194" s="87">
        <v>0.13</v>
      </c>
      <c r="D194" s="87">
        <v>0.32</v>
      </c>
    </row>
    <row r="195" spans="1:4" x14ac:dyDescent="0.25">
      <c r="A195" s="86" t="s">
        <v>115</v>
      </c>
      <c r="B195" s="87">
        <v>0.09</v>
      </c>
      <c r="C195" s="87">
        <v>0.09</v>
      </c>
      <c r="D195" s="87">
        <v>0.09</v>
      </c>
    </row>
    <row r="196" spans="1:4" x14ac:dyDescent="0.25">
      <c r="A196" s="86" t="s">
        <v>90</v>
      </c>
      <c r="B196" s="87">
        <v>0.4</v>
      </c>
      <c r="C196" s="87">
        <v>0.4</v>
      </c>
      <c r="D196" s="87">
        <v>0.41</v>
      </c>
    </row>
    <row r="197" spans="1:4" x14ac:dyDescent="0.25">
      <c r="A197" s="86" t="s">
        <v>96</v>
      </c>
      <c r="B197" s="87">
        <v>0.23</v>
      </c>
      <c r="C197" s="87">
        <v>0.23</v>
      </c>
      <c r="D197" s="87">
        <v>0.65</v>
      </c>
    </row>
    <row r="198" spans="1:4" x14ac:dyDescent="0.25">
      <c r="A198" s="86" t="s">
        <v>116</v>
      </c>
      <c r="B198" s="87">
        <v>0.33</v>
      </c>
      <c r="C198" s="87">
        <v>0.13</v>
      </c>
      <c r="D198" s="87">
        <v>0.49</v>
      </c>
    </row>
    <row r="199" spans="1:4" x14ac:dyDescent="0.25">
      <c r="A199" s="86" t="s">
        <v>117</v>
      </c>
      <c r="B199" s="87">
        <v>0.05</v>
      </c>
      <c r="C199" s="87">
        <v>0.05</v>
      </c>
      <c r="D199" s="87">
        <v>0.05</v>
      </c>
    </row>
    <row r="200" spans="1:4" x14ac:dyDescent="0.25">
      <c r="A200" s="86" t="s">
        <v>118</v>
      </c>
      <c r="B200" s="88" t="s">
        <v>100</v>
      </c>
      <c r="C200" s="88" t="s">
        <v>100</v>
      </c>
      <c r="D200" s="87">
        <v>0.02</v>
      </c>
    </row>
    <row r="201" spans="1:4" x14ac:dyDescent="0.25">
      <c r="A201" s="86" t="s">
        <v>91</v>
      </c>
      <c r="B201" s="88" t="s">
        <v>100</v>
      </c>
      <c r="C201" s="88" t="s">
        <v>100</v>
      </c>
      <c r="D201" s="87">
        <v>0.2</v>
      </c>
    </row>
    <row r="202" spans="1:4" x14ac:dyDescent="0.25">
      <c r="A202" s="5" t="s">
        <v>198</v>
      </c>
    </row>
    <row r="203" spans="1:4" x14ac:dyDescent="0.25">
      <c r="A203" s="62" t="s">
        <v>119</v>
      </c>
    </row>
    <row r="204" spans="1:4" ht="47.25" x14ac:dyDescent="0.25">
      <c r="A204" s="73" t="s">
        <v>120</v>
      </c>
      <c r="B204" s="90" t="s">
        <v>290</v>
      </c>
      <c r="C204" s="90" t="s">
        <v>291</v>
      </c>
    </row>
    <row r="205" spans="1:4" ht="17.25" x14ac:dyDescent="0.25">
      <c r="A205" s="86" t="s">
        <v>125</v>
      </c>
      <c r="B205" s="87">
        <v>0.33</v>
      </c>
      <c r="C205" s="87">
        <v>0.39</v>
      </c>
    </row>
    <row r="206" spans="1:4" ht="17.25" x14ac:dyDescent="0.25">
      <c r="A206" s="86" t="s">
        <v>126</v>
      </c>
      <c r="B206" s="87">
        <v>0.65</v>
      </c>
      <c r="C206" s="87">
        <v>0.78</v>
      </c>
    </row>
    <row r="207" spans="1:4" ht="17.25" x14ac:dyDescent="0.25">
      <c r="A207" s="86" t="s">
        <v>127</v>
      </c>
      <c r="B207" s="87">
        <v>1.63</v>
      </c>
      <c r="C207" s="87">
        <v>1.57</v>
      </c>
    </row>
    <row r="208" spans="1:4" x14ac:dyDescent="0.25">
      <c r="A208" s="86" t="s">
        <v>121</v>
      </c>
      <c r="B208" s="87">
        <v>1.96</v>
      </c>
      <c r="C208" s="87">
        <v>1.96</v>
      </c>
    </row>
    <row r="209" spans="1:3" x14ac:dyDescent="0.25">
      <c r="A209" s="86" t="s">
        <v>122</v>
      </c>
      <c r="B209" s="87">
        <v>3.27</v>
      </c>
      <c r="C209" s="87">
        <v>3.53</v>
      </c>
    </row>
    <row r="210" spans="1:3" x14ac:dyDescent="0.25">
      <c r="A210" s="86" t="s">
        <v>123</v>
      </c>
      <c r="B210" s="87">
        <v>3.59</v>
      </c>
      <c r="C210" s="87">
        <v>3.92</v>
      </c>
    </row>
    <row r="211" spans="1:3" x14ac:dyDescent="0.25">
      <c r="A211" s="86" t="s">
        <v>124</v>
      </c>
      <c r="B211" s="87">
        <v>5.23</v>
      </c>
      <c r="C211" s="87">
        <v>3.92</v>
      </c>
    </row>
    <row r="212" spans="1:3" ht="17.25" x14ac:dyDescent="0.25">
      <c r="A212" s="86" t="s">
        <v>128</v>
      </c>
      <c r="B212" s="87">
        <v>3.59</v>
      </c>
      <c r="C212" s="87">
        <v>3.92</v>
      </c>
    </row>
    <row r="213" spans="1:3" x14ac:dyDescent="0.25">
      <c r="A213" s="89"/>
      <c r="B213" s="58"/>
      <c r="C213" s="59"/>
    </row>
    <row r="214" spans="1:3" ht="48.75" customHeight="1" x14ac:dyDescent="0.25">
      <c r="A214" s="443" t="s">
        <v>129</v>
      </c>
      <c r="B214" s="467"/>
      <c r="C214" s="444"/>
    </row>
    <row r="215" spans="1:3" ht="96.75" customHeight="1" x14ac:dyDescent="0.25">
      <c r="A215" s="443" t="s">
        <v>130</v>
      </c>
      <c r="B215" s="467"/>
      <c r="C215" s="444"/>
    </row>
    <row r="216" spans="1:3" ht="66.75" customHeight="1" x14ac:dyDescent="0.25">
      <c r="A216" s="451" t="s">
        <v>156</v>
      </c>
      <c r="B216" s="464"/>
      <c r="C216" s="452"/>
    </row>
    <row r="217" spans="1:3" x14ac:dyDescent="0.25">
      <c r="A217" s="5" t="s">
        <v>198</v>
      </c>
    </row>
    <row r="218" spans="1:3" x14ac:dyDescent="0.25">
      <c r="A218" s="62" t="s">
        <v>131</v>
      </c>
    </row>
    <row r="219" spans="1:3" ht="32.25" x14ac:dyDescent="0.25">
      <c r="A219" s="73" t="s">
        <v>133</v>
      </c>
      <c r="B219" s="90" t="s">
        <v>199</v>
      </c>
      <c r="C219" s="90" t="s">
        <v>292</v>
      </c>
    </row>
    <row r="220" spans="1:3" ht="17.25" x14ac:dyDescent="0.25">
      <c r="A220" s="86" t="s">
        <v>134</v>
      </c>
      <c r="B220" s="88" t="s">
        <v>136</v>
      </c>
      <c r="C220" s="87">
        <v>7.63</v>
      </c>
    </row>
    <row r="221" spans="1:3" ht="17.25" x14ac:dyDescent="0.25">
      <c r="A221" s="86" t="s">
        <v>135</v>
      </c>
      <c r="B221" s="88" t="s">
        <v>137</v>
      </c>
      <c r="C221" s="87">
        <v>6.8</v>
      </c>
    </row>
    <row r="222" spans="1:3" x14ac:dyDescent="0.25">
      <c r="A222" s="89"/>
      <c r="B222" s="58"/>
      <c r="C222" s="59"/>
    </row>
    <row r="223" spans="1:3" ht="50.25" customHeight="1" x14ac:dyDescent="0.25">
      <c r="A223" s="443" t="s">
        <v>138</v>
      </c>
      <c r="B223" s="467"/>
      <c r="C223" s="444"/>
    </row>
    <row r="224" spans="1:3" ht="51" customHeight="1" x14ac:dyDescent="0.25">
      <c r="A224" s="443" t="s">
        <v>139</v>
      </c>
      <c r="B224" s="467"/>
      <c r="C224" s="444"/>
    </row>
    <row r="225" spans="1:6" ht="49.5" customHeight="1" x14ac:dyDescent="0.25">
      <c r="A225" s="443" t="s">
        <v>140</v>
      </c>
      <c r="B225" s="467"/>
      <c r="C225" s="444"/>
    </row>
    <row r="226" spans="1:6" ht="80.25" customHeight="1" x14ac:dyDescent="0.25">
      <c r="A226" s="451" t="s">
        <v>141</v>
      </c>
      <c r="B226" s="464"/>
      <c r="C226" s="452"/>
    </row>
    <row r="227" spans="1:6" x14ac:dyDescent="0.25">
      <c r="A227" s="5" t="s">
        <v>198</v>
      </c>
    </row>
    <row r="228" spans="1:6" x14ac:dyDescent="0.25">
      <c r="A228" s="62" t="s">
        <v>132</v>
      </c>
    </row>
    <row r="229" spans="1:6" ht="15.75" customHeight="1" x14ac:dyDescent="0.25">
      <c r="A229" s="471" t="s">
        <v>142</v>
      </c>
      <c r="B229" s="468" t="s">
        <v>293</v>
      </c>
      <c r="C229" s="469"/>
      <c r="D229" s="469"/>
      <c r="E229" s="469"/>
      <c r="F229" s="470"/>
    </row>
    <row r="230" spans="1:6" ht="49.5" x14ac:dyDescent="0.25">
      <c r="A230" s="472"/>
      <c r="B230" s="74" t="s">
        <v>143</v>
      </c>
      <c r="C230" s="74" t="s">
        <v>144</v>
      </c>
      <c r="D230" s="74" t="s">
        <v>145</v>
      </c>
      <c r="E230" s="201" t="s">
        <v>294</v>
      </c>
      <c r="F230" s="206" t="s">
        <v>295</v>
      </c>
    </row>
    <row r="231" spans="1:6" x14ac:dyDescent="0.25">
      <c r="A231" s="86" t="s">
        <v>146</v>
      </c>
      <c r="B231" s="91">
        <v>0.13800000000000001</v>
      </c>
      <c r="C231" s="92">
        <v>1.9E-3</v>
      </c>
      <c r="D231" s="91">
        <v>1.7000000000000001E-2</v>
      </c>
      <c r="E231" s="203" t="s">
        <v>100</v>
      </c>
      <c r="F231" s="203">
        <v>0.107</v>
      </c>
    </row>
    <row r="232" spans="1:6" x14ac:dyDescent="0.25">
      <c r="A232" s="86" t="s">
        <v>147</v>
      </c>
      <c r="B232" s="91">
        <v>2.9000000000000001E-2</v>
      </c>
      <c r="C232" s="92">
        <v>2.0000000000000001E-4</v>
      </c>
      <c r="D232" s="91">
        <v>9.6000000000000002E-2</v>
      </c>
      <c r="E232" s="203" t="s">
        <v>100</v>
      </c>
      <c r="F232" s="203">
        <v>0.109</v>
      </c>
    </row>
    <row r="233" spans="1:6" x14ac:dyDescent="0.25">
      <c r="A233" s="86" t="s">
        <v>148</v>
      </c>
      <c r="B233" s="91">
        <v>0.11600000000000001</v>
      </c>
      <c r="C233" s="92">
        <v>1.1000000000000001E-3</v>
      </c>
      <c r="D233" s="91">
        <v>0.04</v>
      </c>
      <c r="E233" s="203">
        <v>1.2E-2</v>
      </c>
      <c r="F233" s="203">
        <v>0.107</v>
      </c>
    </row>
    <row r="234" spans="1:6" x14ac:dyDescent="0.25">
      <c r="A234" s="86" t="s">
        <v>149</v>
      </c>
      <c r="B234" s="91">
        <v>0.34499999999999997</v>
      </c>
      <c r="C234" s="92">
        <v>4.3700000000000003E-2</v>
      </c>
      <c r="D234" s="91">
        <v>1.6E-2</v>
      </c>
      <c r="E234" s="203" t="s">
        <v>100</v>
      </c>
      <c r="F234" s="203">
        <v>0.30299999999999999</v>
      </c>
    </row>
    <row r="235" spans="1:6" x14ac:dyDescent="0.25">
      <c r="A235" s="86" t="s">
        <v>150</v>
      </c>
      <c r="B235" s="91">
        <v>7.4999999999999997E-2</v>
      </c>
      <c r="C235" s="92">
        <v>3.7000000000000002E-3</v>
      </c>
      <c r="D235" s="91">
        <v>2.7E-2</v>
      </c>
      <c r="E235" s="203" t="s">
        <v>100</v>
      </c>
      <c r="F235" s="203">
        <v>0.29899999999999999</v>
      </c>
    </row>
    <row r="236" spans="1:6" x14ac:dyDescent="0.25">
      <c r="A236" s="86" t="s">
        <v>151</v>
      </c>
      <c r="B236" s="91">
        <v>0.23599999999999999</v>
      </c>
      <c r="C236" s="92">
        <v>2.1999999999999999E-2</v>
      </c>
      <c r="D236" s="91">
        <v>2.1000000000000001E-2</v>
      </c>
      <c r="E236" s="203">
        <v>3.5000000000000003E-2</v>
      </c>
      <c r="F236" s="203">
        <v>0.30099999999999999</v>
      </c>
    </row>
    <row r="237" spans="1:6" x14ac:dyDescent="0.25">
      <c r="A237" s="86" t="s">
        <v>152</v>
      </c>
      <c r="B237" s="91">
        <v>0.154</v>
      </c>
      <c r="C237" s="92">
        <v>5.1000000000000004E-3</v>
      </c>
      <c r="D237" s="91">
        <v>1.7000000000000001E-2</v>
      </c>
      <c r="E237" s="203" t="s">
        <v>100</v>
      </c>
      <c r="F237" s="203">
        <v>0.124</v>
      </c>
    </row>
    <row r="238" spans="1:6" x14ac:dyDescent="0.25">
      <c r="A238" s="86" t="s">
        <v>153</v>
      </c>
      <c r="B238" s="91">
        <v>3.5999999999999997E-2</v>
      </c>
      <c r="C238" s="92">
        <v>6.9999999999999999E-4</v>
      </c>
      <c r="D238" s="91">
        <v>8.5999999999999993E-2</v>
      </c>
      <c r="E238" s="203" t="s">
        <v>100</v>
      </c>
      <c r="F238" s="203">
        <v>0.14000000000000001</v>
      </c>
    </row>
    <row r="239" spans="1:6" x14ac:dyDescent="0.25">
      <c r="A239" s="86" t="s">
        <v>154</v>
      </c>
      <c r="B239" s="91">
        <v>0.128</v>
      </c>
      <c r="C239" s="92">
        <v>3.0999999999999999E-3</v>
      </c>
      <c r="D239" s="91">
        <v>3.7999999999999999E-2</v>
      </c>
      <c r="E239" s="203">
        <v>1.4999999999999999E-2</v>
      </c>
      <c r="F239" s="203">
        <v>0.129</v>
      </c>
    </row>
    <row r="240" spans="1:6" x14ac:dyDescent="0.25">
      <c r="A240" s="89"/>
      <c r="B240" s="58"/>
      <c r="C240" s="58"/>
      <c r="D240" s="59"/>
    </row>
    <row r="241" spans="1:6" ht="32.1" customHeight="1" x14ac:dyDescent="0.25">
      <c r="A241" s="443" t="s">
        <v>297</v>
      </c>
      <c r="B241" s="467"/>
      <c r="C241" s="467"/>
      <c r="D241" s="467"/>
      <c r="E241" s="467"/>
      <c r="F241" s="444"/>
    </row>
    <row r="242" spans="1:6" ht="32.450000000000003" customHeight="1" x14ac:dyDescent="0.25">
      <c r="A242" s="459" t="s">
        <v>296</v>
      </c>
      <c r="B242" s="459"/>
      <c r="C242" s="459"/>
      <c r="D242" s="459"/>
      <c r="E242" s="459"/>
      <c r="F242" s="460"/>
    </row>
    <row r="244" spans="1:6" x14ac:dyDescent="0.25">
      <c r="A244" s="440" t="s">
        <v>419</v>
      </c>
      <c r="B244" s="441"/>
      <c r="C244" s="441"/>
      <c r="D244" s="441"/>
    </row>
    <row r="245" spans="1:6" x14ac:dyDescent="0.25">
      <c r="A245" s="251" t="s">
        <v>382</v>
      </c>
      <c r="B245" s="252" t="s">
        <v>207</v>
      </c>
      <c r="C245" s="252" t="s">
        <v>377</v>
      </c>
      <c r="D245" s="252" t="s">
        <v>378</v>
      </c>
    </row>
    <row r="246" spans="1:6" hidden="1" x14ac:dyDescent="0.25">
      <c r="A246" s="209" t="s">
        <v>420</v>
      </c>
      <c r="B246" s="211">
        <v>137</v>
      </c>
      <c r="C246" s="208" t="s">
        <v>376</v>
      </c>
      <c r="D246" s="209" t="s">
        <v>383</v>
      </c>
    </row>
    <row r="247" spans="1:6" x14ac:dyDescent="0.25">
      <c r="A247" s="209" t="s">
        <v>379</v>
      </c>
      <c r="B247" s="211">
        <v>5</v>
      </c>
      <c r="C247" s="208" t="s">
        <v>380</v>
      </c>
      <c r="D247" s="209" t="s">
        <v>381</v>
      </c>
    </row>
    <row r="248" spans="1:6" x14ac:dyDescent="0.25">
      <c r="A248" s="209" t="s">
        <v>451</v>
      </c>
      <c r="B248" s="210">
        <v>40.5</v>
      </c>
      <c r="C248" s="208" t="s">
        <v>412</v>
      </c>
      <c r="D248" s="209" t="s">
        <v>413</v>
      </c>
    </row>
    <row r="249" spans="1:6" x14ac:dyDescent="0.25">
      <c r="A249" s="209" t="s">
        <v>452</v>
      </c>
      <c r="B249" s="210">
        <v>101.7</v>
      </c>
      <c r="C249" s="208" t="s">
        <v>412</v>
      </c>
      <c r="D249" s="209" t="s">
        <v>413</v>
      </c>
    </row>
    <row r="250" spans="1:6" x14ac:dyDescent="0.25">
      <c r="A250" s="209" t="s">
        <v>453</v>
      </c>
      <c r="B250" s="210">
        <v>2</v>
      </c>
      <c r="C250" s="208" t="s">
        <v>450</v>
      </c>
      <c r="D250" s="209" t="s">
        <v>471</v>
      </c>
    </row>
    <row r="251" spans="1:6" x14ac:dyDescent="0.25">
      <c r="A251" s="209" t="s">
        <v>454</v>
      </c>
      <c r="B251" s="210">
        <v>2</v>
      </c>
      <c r="C251" s="208" t="s">
        <v>450</v>
      </c>
      <c r="D251" s="209" t="s">
        <v>471</v>
      </c>
    </row>
    <row r="252" spans="1:6" x14ac:dyDescent="0.25">
      <c r="B252" s="207"/>
      <c r="C252" s="207"/>
    </row>
    <row r="253" spans="1:6" x14ac:dyDescent="0.25">
      <c r="B253" s="207"/>
      <c r="C253" s="207"/>
    </row>
    <row r="254" spans="1:6" x14ac:dyDescent="0.25">
      <c r="B254" s="207"/>
      <c r="C254" s="207"/>
    </row>
    <row r="255" spans="1:6" x14ac:dyDescent="0.25">
      <c r="B255" s="207"/>
      <c r="C255" s="207"/>
    </row>
    <row r="256" spans="1:6" x14ac:dyDescent="0.25">
      <c r="B256" s="207"/>
      <c r="C256" s="207"/>
    </row>
    <row r="257" spans="2:3" x14ac:dyDescent="0.25">
      <c r="B257" s="207"/>
      <c r="C257" s="207"/>
    </row>
    <row r="258" spans="2:3" x14ac:dyDescent="0.25">
      <c r="B258" s="207"/>
      <c r="C258" s="207"/>
    </row>
    <row r="259" spans="2:3" x14ac:dyDescent="0.25">
      <c r="B259" s="207"/>
      <c r="C259" s="207"/>
    </row>
    <row r="260" spans="2:3" x14ac:dyDescent="0.25">
      <c r="B260" s="207"/>
      <c r="C260" s="207"/>
    </row>
    <row r="261" spans="2:3" x14ac:dyDescent="0.25">
      <c r="B261" s="207"/>
      <c r="C261" s="207"/>
    </row>
  </sheetData>
  <mergeCells count="36">
    <mergeCell ref="A148:B148"/>
    <mergeCell ref="A149:B149"/>
    <mergeCell ref="A159:B159"/>
    <mergeCell ref="A74:D74"/>
    <mergeCell ref="A75:D75"/>
    <mergeCell ref="B229:F229"/>
    <mergeCell ref="A241:F241"/>
    <mergeCell ref="A226:C226"/>
    <mergeCell ref="A229:A230"/>
    <mergeCell ref="A214:C214"/>
    <mergeCell ref="A215:C215"/>
    <mergeCell ref="A216:C216"/>
    <mergeCell ref="A223:C223"/>
    <mergeCell ref="A224:C224"/>
    <mergeCell ref="A188:D188"/>
    <mergeCell ref="A191:A192"/>
    <mergeCell ref="B191:D191"/>
    <mergeCell ref="A225:C225"/>
    <mergeCell ref="B163:D163"/>
    <mergeCell ref="A163:A164"/>
    <mergeCell ref="A244:D244"/>
    <mergeCell ref="A20:B20"/>
    <mergeCell ref="A21:B21"/>
    <mergeCell ref="A36:B36"/>
    <mergeCell ref="A37:B37"/>
    <mergeCell ref="A160:B160"/>
    <mergeCell ref="A38:B38"/>
    <mergeCell ref="A39:B39"/>
    <mergeCell ref="A40:B40"/>
    <mergeCell ref="A49:B49"/>
    <mergeCell ref="A56:B56"/>
    <mergeCell ref="A57:B57"/>
    <mergeCell ref="A111:E111"/>
    <mergeCell ref="A112:E112"/>
    <mergeCell ref="A242:F242"/>
    <mergeCell ref="B60:D60"/>
  </mergeCells>
  <hyperlinks>
    <hyperlink ref="A3" r:id="rId1" display="Tables A-1 through A-4 come from USDOT BCA Guidance (March 2022, Revised)" xr:uid="{68918682-7B21-4C2E-A89E-E2125912E2A4}"/>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52AF6-D5FB-40DE-935F-B23E8B0B3C6A}">
  <sheetPr>
    <tabColor theme="9" tint="0.39997558519241921"/>
  </sheetPr>
  <dimension ref="A1:BX246"/>
  <sheetViews>
    <sheetView topLeftCell="N1" workbookViewId="0">
      <selection activeCell="Z9" sqref="Z9:Z10"/>
    </sheetView>
  </sheetViews>
  <sheetFormatPr defaultRowHeight="15" x14ac:dyDescent="0.25"/>
  <cols>
    <col min="1" max="1" width="30.140625" customWidth="1"/>
    <col min="2" max="5" width="20.7109375" customWidth="1"/>
    <col min="6" max="6" width="16.5703125" customWidth="1"/>
    <col min="7" max="7" width="17.42578125" customWidth="1"/>
    <col min="8" max="8" width="21.140625" customWidth="1"/>
    <col min="9" max="9" width="16.140625" customWidth="1"/>
    <col min="10" max="10" width="16.85546875" customWidth="1"/>
    <col min="11" max="11" width="17.28515625" customWidth="1"/>
    <col min="12" max="12" width="16.85546875" customWidth="1"/>
    <col min="13" max="13" width="17.28515625" customWidth="1"/>
    <col min="14" max="14" width="9.140625" style="5"/>
    <col min="15" max="15" width="12.28515625" style="5" customWidth="1"/>
    <col min="16" max="16" width="9.5703125" style="5" bestFit="1" customWidth="1"/>
    <col min="17" max="17" width="9.140625" style="5"/>
    <col min="18" max="18" width="16.140625" style="5" customWidth="1"/>
    <col min="19" max="19" width="16.85546875" style="5" customWidth="1"/>
    <col min="20" max="20" width="9.28515625" style="5" bestFit="1" customWidth="1"/>
    <col min="21" max="25" width="13.5703125" style="5" customWidth="1"/>
    <col min="26" max="26" width="9.140625" style="5"/>
    <col min="27" max="31" width="15.28515625" style="5" customWidth="1"/>
    <col min="32" max="32" width="9.140625" style="5"/>
    <col min="33" max="33" width="15.85546875" style="5" customWidth="1"/>
    <col min="34" max="34" width="15.28515625" style="5" customWidth="1"/>
    <col min="35" max="35" width="17.140625" style="5" customWidth="1"/>
    <col min="36" max="36" width="20.7109375" style="5" customWidth="1"/>
    <col min="37" max="38" width="14.28515625" style="5" customWidth="1"/>
    <col min="39" max="76" width="9.140625" style="5"/>
  </cols>
  <sheetData>
    <row r="1" spans="1:62" ht="20.25" thickBot="1" x14ac:dyDescent="0.35">
      <c r="A1" s="93" t="s">
        <v>321</v>
      </c>
      <c r="B1" s="5"/>
      <c r="C1" s="5"/>
      <c r="D1" s="5"/>
      <c r="E1" s="5"/>
      <c r="F1" s="5"/>
      <c r="G1" s="5"/>
      <c r="H1" s="5"/>
      <c r="I1" s="5"/>
      <c r="J1" s="5"/>
      <c r="K1" s="5"/>
      <c r="L1" s="5"/>
      <c r="M1" s="5"/>
    </row>
    <row r="2" spans="1:62" ht="15.75" thickTop="1" x14ac:dyDescent="0.25">
      <c r="A2" s="148" t="s">
        <v>345</v>
      </c>
      <c r="B2" s="148"/>
      <c r="C2" s="148"/>
      <c r="D2" s="148"/>
      <c r="E2" s="148"/>
      <c r="F2" s="148"/>
      <c r="G2" s="148"/>
      <c r="H2" s="148"/>
      <c r="I2" s="5"/>
      <c r="J2" s="5"/>
      <c r="K2" s="5"/>
      <c r="L2" s="5"/>
      <c r="M2" s="5"/>
    </row>
    <row r="3" spans="1:62" x14ac:dyDescent="0.25">
      <c r="A3" s="148" t="s">
        <v>322</v>
      </c>
      <c r="B3" s="148"/>
      <c r="C3" s="148"/>
      <c r="D3" s="148"/>
      <c r="E3" s="148"/>
      <c r="F3" s="148"/>
      <c r="G3" s="148"/>
      <c r="H3" s="148"/>
      <c r="I3" s="5"/>
      <c r="J3" s="5"/>
      <c r="K3" s="5"/>
      <c r="L3" s="5"/>
      <c r="M3" s="5"/>
    </row>
    <row r="4" spans="1:62" x14ac:dyDescent="0.25">
      <c r="A4" s="148" t="s">
        <v>209</v>
      </c>
      <c r="B4" s="148"/>
      <c r="C4" s="148"/>
      <c r="D4" s="148"/>
      <c r="E4" s="148"/>
      <c r="F4" s="5"/>
      <c r="G4" s="5"/>
      <c r="H4" s="5"/>
      <c r="I4" s="5"/>
      <c r="J4" s="5"/>
      <c r="K4" s="5"/>
      <c r="L4" s="5"/>
      <c r="M4" s="5"/>
    </row>
    <row r="5" spans="1:62" x14ac:dyDescent="0.25">
      <c r="A5" s="148" t="s">
        <v>208</v>
      </c>
      <c r="B5" s="148"/>
      <c r="C5" s="148"/>
      <c r="D5" s="148"/>
      <c r="E5" s="5"/>
      <c r="F5" s="5"/>
      <c r="G5" s="5"/>
      <c r="H5" s="5"/>
      <c r="I5" s="5"/>
      <c r="J5" s="5"/>
      <c r="K5" s="5"/>
      <c r="L5" s="5"/>
      <c r="M5" s="5"/>
    </row>
    <row r="6" spans="1:62" x14ac:dyDescent="0.25">
      <c r="A6" s="5" t="s">
        <v>198</v>
      </c>
      <c r="B6" s="5"/>
      <c r="C6" s="5"/>
      <c r="D6" s="5"/>
      <c r="E6" s="5"/>
      <c r="F6" s="5"/>
      <c r="G6" s="5"/>
      <c r="H6" s="5"/>
      <c r="I6" s="5"/>
      <c r="J6" s="5"/>
      <c r="K6" s="5"/>
      <c r="L6" s="5"/>
      <c r="M6" s="5"/>
    </row>
    <row r="7" spans="1:62" ht="15.75" thickBot="1" x14ac:dyDescent="0.3">
      <c r="A7" s="142" t="s">
        <v>211</v>
      </c>
      <c r="B7" s="5"/>
      <c r="C7" s="5"/>
      <c r="D7" s="5"/>
      <c r="E7" s="5"/>
      <c r="F7" s="5"/>
      <c r="G7" s="5"/>
      <c r="H7" s="5"/>
      <c r="I7" s="5"/>
      <c r="J7" s="5"/>
      <c r="K7" s="5"/>
      <c r="L7" s="5"/>
      <c r="M7" s="5"/>
    </row>
    <row r="8" spans="1:62" ht="17.25" x14ac:dyDescent="0.25">
      <c r="A8" s="5"/>
      <c r="B8" s="486" t="s">
        <v>185</v>
      </c>
      <c r="C8" s="487"/>
      <c r="D8" s="488" t="s">
        <v>353</v>
      </c>
      <c r="E8" s="487"/>
      <c r="F8" s="488" t="s">
        <v>183</v>
      </c>
      <c r="G8" s="487"/>
      <c r="H8" s="488" t="s">
        <v>184</v>
      </c>
      <c r="I8" s="487"/>
      <c r="J8" s="488" t="s">
        <v>498</v>
      </c>
      <c r="K8" s="487"/>
      <c r="L8" s="488" t="s">
        <v>499</v>
      </c>
      <c r="M8" s="487"/>
      <c r="O8" s="214" t="s">
        <v>410</v>
      </c>
      <c r="P8" s="11"/>
      <c r="Q8" s="11"/>
      <c r="R8" s="11"/>
      <c r="S8" s="11"/>
      <c r="T8" s="11"/>
      <c r="U8" s="489" t="s">
        <v>497</v>
      </c>
      <c r="V8" s="489"/>
      <c r="W8" s="489"/>
      <c r="X8" s="489"/>
      <c r="Y8" s="489"/>
      <c r="Z8" s="489"/>
      <c r="AA8" s="489"/>
      <c r="AB8" s="489"/>
      <c r="AC8" s="11"/>
      <c r="AD8" s="11"/>
      <c r="AE8" s="11"/>
      <c r="AF8" s="11"/>
      <c r="AG8" s="490" t="s">
        <v>464</v>
      </c>
      <c r="AH8" s="490"/>
      <c r="AI8" s="490"/>
      <c r="AJ8" s="490"/>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2"/>
    </row>
    <row r="9" spans="1:62" ht="30" customHeight="1" x14ac:dyDescent="0.25">
      <c r="A9" s="99" t="s">
        <v>4</v>
      </c>
      <c r="B9" s="100" t="s">
        <v>186</v>
      </c>
      <c r="C9" s="100" t="s">
        <v>187</v>
      </c>
      <c r="D9" s="100" t="s">
        <v>186</v>
      </c>
      <c r="E9" s="100" t="s">
        <v>187</v>
      </c>
      <c r="F9" s="100" t="s">
        <v>186</v>
      </c>
      <c r="G9" s="100" t="s">
        <v>187</v>
      </c>
      <c r="H9" s="100" t="s">
        <v>186</v>
      </c>
      <c r="I9" s="100" t="s">
        <v>187</v>
      </c>
      <c r="J9" s="100" t="s">
        <v>186</v>
      </c>
      <c r="K9" s="100" t="s">
        <v>187</v>
      </c>
      <c r="L9" s="100" t="s">
        <v>186</v>
      </c>
      <c r="M9" s="100" t="s">
        <v>187</v>
      </c>
      <c r="O9" s="13"/>
      <c r="P9" s="482" t="s">
        <v>398</v>
      </c>
      <c r="Q9" s="483"/>
      <c r="R9" s="482" t="s">
        <v>396</v>
      </c>
      <c r="S9" s="483"/>
      <c r="T9" s="239" t="s">
        <v>385</v>
      </c>
      <c r="U9" s="484" t="s">
        <v>390</v>
      </c>
      <c r="V9" s="478" t="s">
        <v>391</v>
      </c>
      <c r="W9" s="478" t="s">
        <v>455</v>
      </c>
      <c r="X9" s="478" t="s">
        <v>400</v>
      </c>
      <c r="Y9" s="480" t="s">
        <v>421</v>
      </c>
      <c r="Z9" s="476" t="s">
        <v>508</v>
      </c>
      <c r="AA9" s="476" t="s">
        <v>414</v>
      </c>
      <c r="AB9" s="476" t="s">
        <v>415</v>
      </c>
      <c r="AD9"/>
      <c r="AE9"/>
      <c r="AF9"/>
      <c r="AG9" s="491" t="s">
        <v>457</v>
      </c>
      <c r="AH9" s="493" t="s">
        <v>460</v>
      </c>
      <c r="AI9" s="495" t="s">
        <v>470</v>
      </c>
      <c r="AJ9" s="493" t="s">
        <v>462</v>
      </c>
      <c r="AK9"/>
      <c r="AL9"/>
      <c r="AM9"/>
      <c r="AN9"/>
      <c r="AO9"/>
      <c r="AP9"/>
      <c r="AQ9"/>
      <c r="AR9"/>
      <c r="AS9"/>
      <c r="AT9"/>
      <c r="AU9"/>
      <c r="AV9"/>
      <c r="AW9"/>
      <c r="AX9"/>
      <c r="AY9"/>
      <c r="AZ9"/>
      <c r="BA9"/>
      <c r="BB9"/>
      <c r="BC9"/>
      <c r="BD9"/>
      <c r="BE9"/>
      <c r="BF9"/>
      <c r="BG9"/>
      <c r="BH9"/>
      <c r="BI9"/>
      <c r="BJ9" s="14"/>
    </row>
    <row r="10" spans="1:62" ht="15.75" thickBot="1" x14ac:dyDescent="0.3">
      <c r="A10" s="6">
        <f>'Project Information'!$B$9</f>
        <v>2028</v>
      </c>
      <c r="B10" s="41">
        <v>0</v>
      </c>
      <c r="C10" s="41">
        <v>0</v>
      </c>
      <c r="D10" s="41">
        <v>0</v>
      </c>
      <c r="E10" s="41">
        <v>0</v>
      </c>
      <c r="F10" s="41">
        <v>0</v>
      </c>
      <c r="G10" s="41">
        <v>0</v>
      </c>
      <c r="H10" s="41">
        <v>0</v>
      </c>
      <c r="I10" s="41">
        <v>0</v>
      </c>
      <c r="J10" s="247">
        <f>$Y$13</f>
        <v>17739</v>
      </c>
      <c r="K10" s="247">
        <f>$Y$13</f>
        <v>17739</v>
      </c>
      <c r="L10" s="338">
        <f>('User Volumes'!$AH$11*'Parameter Values'!$B$248)+('User Volumes'!$AH$12*'Parameter Values'!$B$249)</f>
        <v>103806</v>
      </c>
      <c r="M10" s="338">
        <f>('User Volumes'!$AH$11*'Parameter Values'!$B$248)+('User Volumes'!$AH$12*'Parameter Values'!$B$249)</f>
        <v>103806</v>
      </c>
      <c r="O10" s="15"/>
      <c r="P10" s="218" t="s">
        <v>386</v>
      </c>
      <c r="Q10" s="219" t="s">
        <v>387</v>
      </c>
      <c r="R10" s="218" t="s">
        <v>386</v>
      </c>
      <c r="S10" s="226" t="s">
        <v>388</v>
      </c>
      <c r="T10" s="230" t="s">
        <v>389</v>
      </c>
      <c r="U10" s="485"/>
      <c r="V10" s="479"/>
      <c r="W10" s="479"/>
      <c r="X10" s="479"/>
      <c r="Y10" s="481"/>
      <c r="Z10" s="477"/>
      <c r="AA10" s="477"/>
      <c r="AB10" s="477"/>
      <c r="AD10"/>
      <c r="AE10"/>
      <c r="AF10"/>
      <c r="AG10" s="492"/>
      <c r="AH10" s="494"/>
      <c r="AI10" s="496"/>
      <c r="AJ10" s="494"/>
      <c r="AK10"/>
      <c r="AL10"/>
      <c r="AM10"/>
      <c r="AN10"/>
      <c r="AO10"/>
      <c r="AP10"/>
      <c r="AQ10"/>
      <c r="AR10"/>
      <c r="AS10"/>
      <c r="AT10"/>
      <c r="AU10"/>
      <c r="AV10"/>
      <c r="AW10"/>
      <c r="AX10"/>
      <c r="AY10"/>
      <c r="AZ10"/>
      <c r="BA10"/>
      <c r="BB10"/>
      <c r="BC10"/>
      <c r="BD10"/>
      <c r="BE10"/>
      <c r="BF10"/>
      <c r="BG10"/>
      <c r="BH10"/>
      <c r="BI10"/>
      <c r="BJ10" s="14"/>
    </row>
    <row r="11" spans="1:62" x14ac:dyDescent="0.25">
      <c r="A11" s="1">
        <f>IF(A10&lt;'Project Information'!B$11,A10+1,"")</f>
        <v>2029</v>
      </c>
      <c r="B11" s="41">
        <v>0</v>
      </c>
      <c r="C11" s="41">
        <v>0</v>
      </c>
      <c r="D11" s="41">
        <v>0</v>
      </c>
      <c r="E11" s="41">
        <v>0</v>
      </c>
      <c r="F11" s="41">
        <v>0</v>
      </c>
      <c r="G11" s="41">
        <v>0</v>
      </c>
      <c r="H11" s="41">
        <v>0</v>
      </c>
      <c r="I11" s="41">
        <v>0</v>
      </c>
      <c r="J11" s="247">
        <f>$Y$13</f>
        <v>17739</v>
      </c>
      <c r="K11" s="247">
        <f>$Y$13</f>
        <v>17739</v>
      </c>
      <c r="L11" s="338">
        <f>('User Volumes'!$AH$11*'Parameter Values'!$B$248)+('User Volumes'!$AH$12*'Parameter Values'!$B$249)</f>
        <v>103806</v>
      </c>
      <c r="M11" s="41">
        <f>('User Volumes'!$AH$11*'Parameter Values'!$B$248)+('User Volumes'!$AH$12*'Parameter Values'!$B$249)</f>
        <v>103806</v>
      </c>
      <c r="O11" s="13" t="s">
        <v>392</v>
      </c>
      <c r="P11" s="220">
        <v>80</v>
      </c>
      <c r="Q11" s="221">
        <v>27</v>
      </c>
      <c r="R11" s="227">
        <v>0</v>
      </c>
      <c r="S11" s="240">
        <v>6.4</v>
      </c>
      <c r="T11" s="231">
        <v>2</v>
      </c>
      <c r="U11" s="220">
        <f>SUM(P11:T11)</f>
        <v>115.4</v>
      </c>
      <c r="V11" s="242">
        <v>0.6</v>
      </c>
      <c r="W11" s="234">
        <f>V11*365</f>
        <v>219</v>
      </c>
      <c r="X11" s="234">
        <f>'Parameter Values'!$B$248</f>
        <v>40.5</v>
      </c>
      <c r="Y11" s="235">
        <f>W11*X11</f>
        <v>8869.5</v>
      </c>
      <c r="Z11" s="235"/>
      <c r="AA11" s="235"/>
      <c r="AB11" s="235"/>
      <c r="AD11"/>
      <c r="AE11"/>
      <c r="AF11"/>
      <c r="AG11" s="279" t="s">
        <v>458</v>
      </c>
      <c r="AH11" s="275">
        <f>'Parameter Values'!B250*365</f>
        <v>730</v>
      </c>
      <c r="AI11" s="272">
        <f>AH11*5</f>
        <v>3650</v>
      </c>
      <c r="AJ11" s="272">
        <f>(AH11*'Parameter Values'!B248)/10</f>
        <v>2956.5</v>
      </c>
      <c r="AK11"/>
      <c r="AL11"/>
      <c r="AM11"/>
      <c r="AN11"/>
      <c r="AO11"/>
      <c r="AP11"/>
      <c r="AQ11"/>
      <c r="AR11"/>
      <c r="AS11"/>
      <c r="AT11"/>
      <c r="AU11"/>
      <c r="AV11"/>
      <c r="AW11"/>
      <c r="AX11"/>
      <c r="AY11"/>
      <c r="AZ11"/>
      <c r="BA11"/>
      <c r="BB11"/>
      <c r="BC11"/>
      <c r="BD11"/>
      <c r="BE11"/>
      <c r="BF11"/>
      <c r="BG11"/>
      <c r="BH11"/>
      <c r="BI11"/>
      <c r="BJ11" s="14"/>
    </row>
    <row r="12" spans="1:62" x14ac:dyDescent="0.25">
      <c r="A12" s="1">
        <f>IF(A11&lt;'Project Information'!B$11,A11+1,"")</f>
        <v>2030</v>
      </c>
      <c r="B12" s="41">
        <v>0</v>
      </c>
      <c r="C12" s="41">
        <v>0</v>
      </c>
      <c r="D12" s="41">
        <v>0</v>
      </c>
      <c r="E12" s="41">
        <v>0</v>
      </c>
      <c r="F12" s="41">
        <v>0</v>
      </c>
      <c r="G12" s="41">
        <v>0</v>
      </c>
      <c r="H12" s="41">
        <v>0</v>
      </c>
      <c r="I12" s="41">
        <v>0</v>
      </c>
      <c r="J12" s="247">
        <f t="shared" ref="J12:K34" si="0">$Y$20</f>
        <v>44347.5</v>
      </c>
      <c r="K12" s="247">
        <f t="shared" si="0"/>
        <v>44347.5</v>
      </c>
      <c r="L12" s="338">
        <f>('User Volumes'!$AH$11*'Parameter Values'!$B$248)+('User Volumes'!$AH$12*'Parameter Values'!$B$249)</f>
        <v>103806</v>
      </c>
      <c r="M12" s="41">
        <f>('User Volumes'!$AH$11*'Parameter Values'!$B$248)+('User Volumes'!$AH$12*'Parameter Values'!$B$249)</f>
        <v>103806</v>
      </c>
      <c r="O12" s="216" t="s">
        <v>393</v>
      </c>
      <c r="P12" s="222">
        <v>80</v>
      </c>
      <c r="Q12" s="223">
        <v>27</v>
      </c>
      <c r="R12" s="228">
        <v>0</v>
      </c>
      <c r="S12" s="241">
        <v>6.4</v>
      </c>
      <c r="T12" s="232">
        <v>2</v>
      </c>
      <c r="U12" s="222">
        <f>SUM(P12:T12)</f>
        <v>115.4</v>
      </c>
      <c r="V12" s="243">
        <v>0.6</v>
      </c>
      <c r="W12" s="217">
        <f t="shared" ref="W12" si="1">V12*365</f>
        <v>219</v>
      </c>
      <c r="X12" s="217">
        <f>'Parameter Values'!$B$248</f>
        <v>40.5</v>
      </c>
      <c r="Y12" s="236">
        <f>W12*X12</f>
        <v>8869.5</v>
      </c>
      <c r="Z12" s="236"/>
      <c r="AA12" s="236"/>
      <c r="AB12" s="236"/>
      <c r="AD12"/>
      <c r="AE12"/>
      <c r="AF12"/>
      <c r="AG12" s="280" t="s">
        <v>459</v>
      </c>
      <c r="AH12" s="276">
        <f>'Parameter Values'!B251*365</f>
        <v>730</v>
      </c>
      <c r="AI12" s="273">
        <f>AH12*5</f>
        <v>3650</v>
      </c>
      <c r="AJ12" s="273">
        <f>(AH12*'Parameter Values'!B249)/25</f>
        <v>2969.64</v>
      </c>
      <c r="AK12"/>
      <c r="AL12"/>
      <c r="AM12"/>
      <c r="AN12"/>
      <c r="AO12"/>
      <c r="AP12"/>
      <c r="AQ12"/>
      <c r="AR12"/>
      <c r="AS12"/>
      <c r="AT12"/>
      <c r="AU12"/>
      <c r="AV12"/>
      <c r="AW12"/>
      <c r="AX12"/>
      <c r="AY12"/>
      <c r="AZ12"/>
      <c r="BA12"/>
      <c r="BB12"/>
      <c r="BC12"/>
      <c r="BD12"/>
      <c r="BE12"/>
      <c r="BF12"/>
      <c r="BG12"/>
      <c r="BH12"/>
      <c r="BI12"/>
      <c r="BJ12" s="14"/>
    </row>
    <row r="13" spans="1:62" x14ac:dyDescent="0.25">
      <c r="A13" s="1">
        <f>IF(A12&lt;'Project Information'!B$11,A12+1,"")</f>
        <v>2031</v>
      </c>
      <c r="B13" s="41">
        <v>0</v>
      </c>
      <c r="C13" s="41">
        <v>0</v>
      </c>
      <c r="D13" s="41">
        <v>0</v>
      </c>
      <c r="E13" s="41">
        <v>0</v>
      </c>
      <c r="F13" s="41">
        <v>0</v>
      </c>
      <c r="G13" s="41">
        <v>0</v>
      </c>
      <c r="H13" s="41">
        <v>0</v>
      </c>
      <c r="I13" s="41">
        <v>0</v>
      </c>
      <c r="J13" s="247">
        <f t="shared" si="0"/>
        <v>44347.5</v>
      </c>
      <c r="K13" s="247">
        <f t="shared" si="0"/>
        <v>44347.5</v>
      </c>
      <c r="L13" s="338">
        <f>('User Volumes'!$AH$11*'Parameter Values'!$B$248)+('User Volumes'!$AH$12*'Parameter Values'!$B$249)</f>
        <v>103806</v>
      </c>
      <c r="M13" s="41">
        <f>('User Volumes'!$AH$11*'Parameter Values'!$B$248)+('User Volumes'!$AH$12*'Parameter Values'!$B$249)</f>
        <v>103806</v>
      </c>
      <c r="O13" s="215" t="s">
        <v>394</v>
      </c>
      <c r="P13" s="224">
        <f>SUM(P11:P12)</f>
        <v>160</v>
      </c>
      <c r="Q13" s="225">
        <f t="shared" ref="Q13:W13" si="2">SUM(Q11:Q12)</f>
        <v>54</v>
      </c>
      <c r="R13" s="229">
        <f t="shared" si="2"/>
        <v>0</v>
      </c>
      <c r="S13" s="245">
        <f t="shared" si="2"/>
        <v>12.8</v>
      </c>
      <c r="T13" s="233">
        <f t="shared" si="2"/>
        <v>4</v>
      </c>
      <c r="U13" s="224">
        <f t="shared" si="2"/>
        <v>230.8</v>
      </c>
      <c r="V13" s="244">
        <f t="shared" si="2"/>
        <v>1.2</v>
      </c>
      <c r="W13" s="237">
        <f t="shared" si="2"/>
        <v>438</v>
      </c>
      <c r="X13" s="237">
        <f>SUM(X11:X12)</f>
        <v>81</v>
      </c>
      <c r="Y13" s="238">
        <f>SUM(Y11:Y12)</f>
        <v>17739</v>
      </c>
      <c r="Z13" s="238">
        <v>10</v>
      </c>
      <c r="AA13" s="238">
        <f>5*W13</f>
        <v>2190</v>
      </c>
      <c r="AB13" s="238">
        <f>(W13*X13)/Z13</f>
        <v>3547.8</v>
      </c>
      <c r="AD13"/>
      <c r="AE13"/>
      <c r="AF13"/>
      <c r="AG13" s="281" t="s">
        <v>394</v>
      </c>
      <c r="AH13" s="277">
        <f>SUM(AH11:AH12)</f>
        <v>1460</v>
      </c>
      <c r="AI13" s="277">
        <f t="shared" ref="AI13:AJ13" si="3">SUM(AI11:AI12)</f>
        <v>7300</v>
      </c>
      <c r="AJ13" s="337">
        <f t="shared" si="3"/>
        <v>5926.1399999999994</v>
      </c>
      <c r="AK13"/>
      <c r="AL13"/>
      <c r="AM13"/>
      <c r="AN13"/>
      <c r="AO13"/>
      <c r="AP13"/>
      <c r="AQ13"/>
      <c r="AR13"/>
      <c r="AS13"/>
      <c r="AT13"/>
      <c r="AU13"/>
      <c r="AV13"/>
      <c r="AW13"/>
      <c r="AX13"/>
      <c r="AY13"/>
      <c r="AZ13"/>
      <c r="BA13"/>
      <c r="BB13"/>
      <c r="BC13"/>
      <c r="BD13"/>
      <c r="BE13"/>
      <c r="BF13"/>
      <c r="BG13"/>
      <c r="BH13"/>
      <c r="BI13"/>
      <c r="BJ13" s="14"/>
    </row>
    <row r="14" spans="1:62" ht="15.75" thickBot="1" x14ac:dyDescent="0.3">
      <c r="A14" s="1">
        <f>IF(A13&lt;'Project Information'!B$11,A13+1,"")</f>
        <v>2032</v>
      </c>
      <c r="B14" s="41">
        <v>0</v>
      </c>
      <c r="C14" s="41">
        <v>0</v>
      </c>
      <c r="D14" s="41">
        <v>0</v>
      </c>
      <c r="E14" s="41">
        <v>0</v>
      </c>
      <c r="F14" s="41">
        <v>0</v>
      </c>
      <c r="G14" s="41">
        <v>0</v>
      </c>
      <c r="H14" s="41">
        <v>0</v>
      </c>
      <c r="I14" s="41">
        <v>0</v>
      </c>
      <c r="J14" s="247">
        <f t="shared" si="0"/>
        <v>44347.5</v>
      </c>
      <c r="K14" s="247">
        <f t="shared" si="0"/>
        <v>44347.5</v>
      </c>
      <c r="L14" s="338">
        <f>('User Volumes'!$AH$11*'Parameter Values'!$B$248)+('User Volumes'!$AH$12*'Parameter Values'!$B$249)</f>
        <v>103806</v>
      </c>
      <c r="M14" s="41">
        <f>('User Volumes'!$AH$11*'Parameter Values'!$B$248)+('User Volumes'!$AH$12*'Parameter Values'!$B$249)</f>
        <v>103806</v>
      </c>
      <c r="O14" s="13"/>
      <c r="P14" s="175"/>
      <c r="Q14"/>
      <c r="R14"/>
      <c r="S14" s="174"/>
      <c r="T14"/>
      <c r="U14"/>
      <c r="V14"/>
      <c r="W14"/>
      <c r="X14"/>
      <c r="Y14" s="213"/>
      <c r="Z14"/>
      <c r="AA14"/>
      <c r="AB14"/>
      <c r="AC14"/>
      <c r="AD14"/>
      <c r="AE14"/>
      <c r="AF14"/>
      <c r="AG14" s="278"/>
      <c r="AH14" s="278"/>
      <c r="AI14" s="278"/>
      <c r="AJ14"/>
      <c r="AK14"/>
      <c r="AL14"/>
      <c r="AM14"/>
      <c r="AN14"/>
      <c r="AO14"/>
      <c r="AP14"/>
      <c r="AQ14"/>
      <c r="AR14"/>
      <c r="AS14"/>
      <c r="AT14"/>
      <c r="AU14"/>
      <c r="AV14"/>
      <c r="AW14"/>
      <c r="AX14"/>
      <c r="AY14"/>
      <c r="AZ14"/>
      <c r="BA14"/>
      <c r="BB14"/>
      <c r="BC14"/>
      <c r="BD14"/>
      <c r="BE14"/>
      <c r="BF14"/>
      <c r="BG14"/>
      <c r="BH14"/>
      <c r="BI14"/>
      <c r="BJ14" s="14"/>
    </row>
    <row r="15" spans="1:62" x14ac:dyDescent="0.25">
      <c r="A15" s="1">
        <f>IF(A14&lt;'Project Information'!B$11,A14+1,"")</f>
        <v>2033</v>
      </c>
      <c r="B15" s="41">
        <v>0</v>
      </c>
      <c r="C15" s="41">
        <v>0</v>
      </c>
      <c r="D15" s="41">
        <v>0</v>
      </c>
      <c r="E15" s="41">
        <v>0</v>
      </c>
      <c r="F15" s="41">
        <v>0</v>
      </c>
      <c r="G15" s="41">
        <v>0</v>
      </c>
      <c r="H15" s="41">
        <v>0</v>
      </c>
      <c r="I15" s="41">
        <v>0</v>
      </c>
      <c r="J15" s="247">
        <f t="shared" si="0"/>
        <v>44347.5</v>
      </c>
      <c r="K15" s="247">
        <f t="shared" si="0"/>
        <v>44347.5</v>
      </c>
      <c r="L15" s="338">
        <f>('User Volumes'!$AH$11*'Parameter Values'!$B$248)+('User Volumes'!$AH$12*'Parameter Values'!$B$249)</f>
        <v>103806</v>
      </c>
      <c r="M15" s="41">
        <f>('User Volumes'!$AH$11*'Parameter Values'!$B$248)+('User Volumes'!$AH$12*'Parameter Values'!$B$249)</f>
        <v>103806</v>
      </c>
      <c r="O15" s="214" t="s">
        <v>409</v>
      </c>
      <c r="P15" s="11"/>
      <c r="Q15" s="11"/>
      <c r="R15" s="11"/>
      <c r="S15" s="11"/>
      <c r="T15" s="11"/>
      <c r="U15" s="489" t="s">
        <v>497</v>
      </c>
      <c r="V15" s="489"/>
      <c r="W15" s="489"/>
      <c r="X15" s="489"/>
      <c r="Y15" s="489"/>
      <c r="Z15" s="489"/>
      <c r="AA15" s="489"/>
      <c r="AB15" s="489"/>
      <c r="AC15" s="489"/>
      <c r="AD15" s="489"/>
      <c r="AE15" s="489"/>
      <c r="AF15" s="11"/>
      <c r="AG15" s="490" t="s">
        <v>465</v>
      </c>
      <c r="AH15" s="490"/>
      <c r="AI15" s="490"/>
      <c r="AJ15" s="490"/>
      <c r="AK15" s="282"/>
      <c r="AL15" s="282"/>
      <c r="AM15"/>
      <c r="AN15"/>
      <c r="AO15"/>
      <c r="AP15"/>
      <c r="AQ15"/>
      <c r="AR15"/>
      <c r="AS15"/>
      <c r="AT15"/>
      <c r="AU15"/>
      <c r="AV15"/>
      <c r="AW15"/>
      <c r="AX15"/>
      <c r="AY15"/>
      <c r="AZ15"/>
      <c r="BA15"/>
      <c r="BB15"/>
      <c r="BC15"/>
      <c r="BD15"/>
      <c r="BE15"/>
      <c r="BF15"/>
      <c r="BG15"/>
      <c r="BH15"/>
      <c r="BI15"/>
      <c r="BJ15" s="14"/>
    </row>
    <row r="16" spans="1:62" ht="30" customHeight="1" x14ac:dyDescent="0.25">
      <c r="A16" s="1">
        <f>IF(A15&lt;'Project Information'!B$11,A15+1,"")</f>
        <v>2034</v>
      </c>
      <c r="B16" s="41">
        <v>0</v>
      </c>
      <c r="C16" s="41">
        <v>0</v>
      </c>
      <c r="D16" s="41">
        <v>0</v>
      </c>
      <c r="E16" s="41">
        <v>0</v>
      </c>
      <c r="F16" s="41">
        <v>0</v>
      </c>
      <c r="G16" s="41">
        <v>0</v>
      </c>
      <c r="H16" s="41">
        <v>0</v>
      </c>
      <c r="I16" s="41">
        <v>0</v>
      </c>
      <c r="J16" s="247">
        <f t="shared" si="0"/>
        <v>44347.5</v>
      </c>
      <c r="K16" s="247">
        <f t="shared" si="0"/>
        <v>44347.5</v>
      </c>
      <c r="L16" s="338">
        <f>('User Volumes'!$AH$11*'Parameter Values'!$B$248)+('User Volumes'!$AH$12*'Parameter Values'!$B$249)</f>
        <v>103806</v>
      </c>
      <c r="M16" s="41">
        <f>('User Volumes'!$AH$11*'Parameter Values'!$B$248)+('User Volumes'!$AH$12*'Parameter Values'!$B$249)</f>
        <v>103806</v>
      </c>
      <c r="O16" s="13"/>
      <c r="P16" s="482" t="s">
        <v>407</v>
      </c>
      <c r="Q16" s="483"/>
      <c r="R16" s="482" t="s">
        <v>397</v>
      </c>
      <c r="S16" s="483"/>
      <c r="T16" s="239" t="s">
        <v>385</v>
      </c>
      <c r="U16" s="484" t="s">
        <v>390</v>
      </c>
      <c r="V16" s="478" t="s">
        <v>391</v>
      </c>
      <c r="W16" s="478" t="s">
        <v>455</v>
      </c>
      <c r="X16" s="478" t="s">
        <v>400</v>
      </c>
      <c r="Y16" s="480" t="s">
        <v>421</v>
      </c>
      <c r="Z16" s="476" t="s">
        <v>509</v>
      </c>
      <c r="AA16" s="476" t="s">
        <v>405</v>
      </c>
      <c r="AB16" s="476" t="s">
        <v>402</v>
      </c>
      <c r="AC16" s="476" t="s">
        <v>510</v>
      </c>
      <c r="AD16" s="476" t="s">
        <v>406</v>
      </c>
      <c r="AE16" s="476" t="s">
        <v>401</v>
      </c>
      <c r="AF16"/>
      <c r="AG16" s="491" t="s">
        <v>457</v>
      </c>
      <c r="AH16" s="493" t="s">
        <v>460</v>
      </c>
      <c r="AI16" s="495" t="s">
        <v>470</v>
      </c>
      <c r="AJ16" s="495" t="s">
        <v>462</v>
      </c>
      <c r="AK16" s="497" t="s">
        <v>469</v>
      </c>
      <c r="AL16" s="493" t="s">
        <v>461</v>
      </c>
      <c r="AM16"/>
      <c r="AN16"/>
      <c r="AO16"/>
      <c r="AP16"/>
      <c r="AQ16"/>
      <c r="AR16"/>
      <c r="AS16"/>
      <c r="AT16"/>
      <c r="AU16"/>
      <c r="AV16"/>
      <c r="AW16"/>
      <c r="AX16"/>
      <c r="AY16"/>
      <c r="AZ16"/>
      <c r="BA16"/>
      <c r="BB16"/>
      <c r="BC16"/>
      <c r="BD16"/>
      <c r="BE16"/>
      <c r="BF16"/>
      <c r="BG16"/>
      <c r="BH16"/>
      <c r="BI16"/>
      <c r="BJ16" s="14"/>
    </row>
    <row r="17" spans="1:62" ht="15.75" thickBot="1" x14ac:dyDescent="0.3">
      <c r="A17" s="1">
        <f>IF(A16&lt;'Project Information'!B$11,A16+1,"")</f>
        <v>2035</v>
      </c>
      <c r="B17" s="41">
        <v>0</v>
      </c>
      <c r="C17" s="41">
        <v>0</v>
      </c>
      <c r="D17" s="41">
        <v>0</v>
      </c>
      <c r="E17" s="41">
        <v>0</v>
      </c>
      <c r="F17" s="41">
        <v>0</v>
      </c>
      <c r="G17" s="41">
        <v>0</v>
      </c>
      <c r="H17" s="41">
        <v>0</v>
      </c>
      <c r="I17" s="41">
        <v>0</v>
      </c>
      <c r="J17" s="247">
        <f t="shared" si="0"/>
        <v>44347.5</v>
      </c>
      <c r="K17" s="247">
        <f t="shared" si="0"/>
        <v>44347.5</v>
      </c>
      <c r="L17" s="338">
        <f>('User Volumes'!$AH$11*'Parameter Values'!$B$248)+('User Volumes'!$AH$12*'Parameter Values'!$B$249)</f>
        <v>103806</v>
      </c>
      <c r="M17" s="41">
        <f>('User Volumes'!$AH$11*'Parameter Values'!$B$248)+('User Volumes'!$AH$12*'Parameter Values'!$B$249)</f>
        <v>103806</v>
      </c>
      <c r="O17" s="15"/>
      <c r="P17" s="218" t="s">
        <v>386</v>
      </c>
      <c r="Q17" s="219" t="s">
        <v>387</v>
      </c>
      <c r="R17" s="218" t="s">
        <v>386</v>
      </c>
      <c r="S17" s="226" t="s">
        <v>388</v>
      </c>
      <c r="T17" s="230" t="s">
        <v>389</v>
      </c>
      <c r="U17" s="485"/>
      <c r="V17" s="479"/>
      <c r="W17" s="479"/>
      <c r="X17" s="479"/>
      <c r="Y17" s="481"/>
      <c r="Z17" s="477"/>
      <c r="AA17" s="477"/>
      <c r="AB17" s="477"/>
      <c r="AC17" s="477"/>
      <c r="AD17" s="477"/>
      <c r="AE17" s="477"/>
      <c r="AF17"/>
      <c r="AG17" s="492"/>
      <c r="AH17" s="494"/>
      <c r="AI17" s="496"/>
      <c r="AJ17" s="496"/>
      <c r="AK17" s="498"/>
      <c r="AL17" s="494"/>
      <c r="AM17"/>
      <c r="AN17"/>
      <c r="AO17"/>
      <c r="AP17"/>
      <c r="AQ17"/>
      <c r="AR17"/>
      <c r="AS17"/>
      <c r="AT17"/>
      <c r="AU17"/>
      <c r="AV17"/>
      <c r="AW17"/>
      <c r="AX17"/>
      <c r="AY17"/>
      <c r="AZ17"/>
      <c r="BA17"/>
      <c r="BB17"/>
      <c r="BC17"/>
      <c r="BD17"/>
      <c r="BE17"/>
      <c r="BF17"/>
      <c r="BG17"/>
      <c r="BH17"/>
      <c r="BI17"/>
      <c r="BJ17" s="14"/>
    </row>
    <row r="18" spans="1:62" x14ac:dyDescent="0.25">
      <c r="A18" s="1">
        <f>IF(A17&lt;'Project Information'!B$11,A17+1,"")</f>
        <v>2036</v>
      </c>
      <c r="B18" s="41">
        <v>0</v>
      </c>
      <c r="C18" s="41">
        <v>0</v>
      </c>
      <c r="D18" s="41">
        <v>0</v>
      </c>
      <c r="E18" s="41">
        <v>0</v>
      </c>
      <c r="F18" s="41">
        <v>0</v>
      </c>
      <c r="G18" s="41">
        <v>0</v>
      </c>
      <c r="H18" s="41">
        <v>0</v>
      </c>
      <c r="I18" s="41">
        <v>0</v>
      </c>
      <c r="J18" s="247">
        <f t="shared" si="0"/>
        <v>44347.5</v>
      </c>
      <c r="K18" s="247">
        <f t="shared" si="0"/>
        <v>44347.5</v>
      </c>
      <c r="L18" s="338">
        <f>('User Volumes'!$AH$11*'Parameter Values'!$B$248)+('User Volumes'!$AH$12*'Parameter Values'!$B$249)</f>
        <v>103806</v>
      </c>
      <c r="M18" s="41">
        <f>('User Volumes'!$AH$11*'Parameter Values'!$B$248)+('User Volumes'!$AH$12*'Parameter Values'!$B$249)</f>
        <v>103806</v>
      </c>
      <c r="O18" s="13" t="s">
        <v>392</v>
      </c>
      <c r="P18" s="220">
        <v>176</v>
      </c>
      <c r="Q18" s="221">
        <v>81</v>
      </c>
      <c r="R18" s="227">
        <v>48</v>
      </c>
      <c r="S18" s="221">
        <v>12</v>
      </c>
      <c r="T18" s="231">
        <v>2</v>
      </c>
      <c r="U18" s="220">
        <f>SUM(P18:T18)</f>
        <v>319</v>
      </c>
      <c r="V18" s="242">
        <v>1.5</v>
      </c>
      <c r="W18" s="234">
        <f>V18*365</f>
        <v>547.5</v>
      </c>
      <c r="X18" s="234">
        <f>'Parameter Values'!$B$248</f>
        <v>40.5</v>
      </c>
      <c r="Y18" s="235">
        <f>W18*X18</f>
        <v>22173.75</v>
      </c>
      <c r="Z18" s="235"/>
      <c r="AA18" s="235"/>
      <c r="AB18" s="235"/>
      <c r="AC18" s="235"/>
      <c r="AD18" s="235"/>
      <c r="AE18" s="235"/>
      <c r="AF18"/>
      <c r="AG18" s="279" t="s">
        <v>458</v>
      </c>
      <c r="AH18" s="275">
        <f>'Parameter Values'!B250*365</f>
        <v>730</v>
      </c>
      <c r="AI18" s="275">
        <f>AH18*5</f>
        <v>3650</v>
      </c>
      <c r="AJ18" s="275">
        <f>(AH18*'Parameter Values'!B248)/10</f>
        <v>2956.5</v>
      </c>
      <c r="AK18" s="288">
        <f>AH18*2</f>
        <v>1460</v>
      </c>
      <c r="AL18" s="272">
        <f>(AH18*'Parameter Values'!B248)/25</f>
        <v>1182.5999999999999</v>
      </c>
      <c r="AM18"/>
      <c r="AN18"/>
      <c r="AO18"/>
      <c r="AP18"/>
      <c r="AQ18"/>
      <c r="AR18"/>
      <c r="AS18"/>
      <c r="AT18"/>
      <c r="AU18"/>
      <c r="AV18"/>
      <c r="AW18"/>
      <c r="AX18"/>
      <c r="AY18"/>
      <c r="AZ18"/>
      <c r="BA18"/>
      <c r="BB18"/>
      <c r="BC18"/>
      <c r="BD18"/>
      <c r="BE18"/>
      <c r="BF18"/>
      <c r="BG18"/>
      <c r="BH18"/>
      <c r="BI18"/>
      <c r="BJ18" s="14"/>
    </row>
    <row r="19" spans="1:62" x14ac:dyDescent="0.25">
      <c r="A19" s="1">
        <f>IF(A18&lt;'Project Information'!B$11,A18+1,"")</f>
        <v>2037</v>
      </c>
      <c r="B19" s="41">
        <v>0</v>
      </c>
      <c r="C19" s="41">
        <v>0</v>
      </c>
      <c r="D19" s="41">
        <v>0</v>
      </c>
      <c r="E19" s="41">
        <v>0</v>
      </c>
      <c r="F19" s="41">
        <v>0</v>
      </c>
      <c r="G19" s="41">
        <v>0</v>
      </c>
      <c r="H19" s="41">
        <v>0</v>
      </c>
      <c r="I19" s="41">
        <v>0</v>
      </c>
      <c r="J19" s="247">
        <f t="shared" si="0"/>
        <v>44347.5</v>
      </c>
      <c r="K19" s="247">
        <f t="shared" si="0"/>
        <v>44347.5</v>
      </c>
      <c r="L19" s="338">
        <f>('User Volumes'!$AH$11*'Parameter Values'!$B$248)+('User Volumes'!$AH$12*'Parameter Values'!$B$249)</f>
        <v>103806</v>
      </c>
      <c r="M19" s="41">
        <f>('User Volumes'!$AH$11*'Parameter Values'!$B$248)+('User Volumes'!$AH$12*'Parameter Values'!$B$249)</f>
        <v>103806</v>
      </c>
      <c r="O19" s="216" t="s">
        <v>393</v>
      </c>
      <c r="P19" s="222">
        <v>176</v>
      </c>
      <c r="Q19" s="223">
        <v>81</v>
      </c>
      <c r="R19" s="228">
        <v>48</v>
      </c>
      <c r="S19" s="223">
        <v>12</v>
      </c>
      <c r="T19" s="232">
        <v>2</v>
      </c>
      <c r="U19" s="222">
        <f>SUM(P19:T19)</f>
        <v>319</v>
      </c>
      <c r="V19" s="243">
        <v>1.5</v>
      </c>
      <c r="W19" s="217">
        <f t="shared" ref="W19" si="4">V19*365</f>
        <v>547.5</v>
      </c>
      <c r="X19" s="217">
        <f>'Parameter Values'!$B$248</f>
        <v>40.5</v>
      </c>
      <c r="Y19" s="236">
        <f>W19*X19</f>
        <v>22173.75</v>
      </c>
      <c r="Z19" s="236"/>
      <c r="AA19" s="236"/>
      <c r="AB19" s="236"/>
      <c r="AC19" s="236"/>
      <c r="AD19" s="236"/>
      <c r="AE19" s="236"/>
      <c r="AF19"/>
      <c r="AG19" s="280" t="s">
        <v>459</v>
      </c>
      <c r="AH19" s="276">
        <f>'Parameter Values'!B251*365</f>
        <v>730</v>
      </c>
      <c r="AI19" s="276">
        <f>AH19*5</f>
        <v>3650</v>
      </c>
      <c r="AJ19" s="276">
        <f>(AH19*'Parameter Values'!B249)/25</f>
        <v>2969.64</v>
      </c>
      <c r="AK19" s="289">
        <f>AH19*2</f>
        <v>1460</v>
      </c>
      <c r="AL19" s="273">
        <f>(AH19*'Parameter Values'!B249)/40</f>
        <v>1856.0250000000001</v>
      </c>
      <c r="AM19"/>
      <c r="AN19"/>
      <c r="AO19"/>
      <c r="AP19"/>
      <c r="AQ19"/>
      <c r="AR19"/>
      <c r="AS19"/>
      <c r="AT19"/>
      <c r="AU19"/>
      <c r="AV19"/>
      <c r="AW19"/>
      <c r="AX19"/>
      <c r="AY19"/>
      <c r="AZ19"/>
      <c r="BA19"/>
      <c r="BB19"/>
      <c r="BC19"/>
      <c r="BD19"/>
      <c r="BE19"/>
      <c r="BF19"/>
      <c r="BG19"/>
      <c r="BH19"/>
      <c r="BI19"/>
      <c r="BJ19" s="14"/>
    </row>
    <row r="20" spans="1:62" x14ac:dyDescent="0.25">
      <c r="A20" s="1">
        <f>IF(A19&lt;'Project Information'!B$11,A19+1,"")</f>
        <v>2038</v>
      </c>
      <c r="B20" s="41">
        <v>0</v>
      </c>
      <c r="C20" s="41">
        <v>0</v>
      </c>
      <c r="D20" s="41">
        <v>0</v>
      </c>
      <c r="E20" s="41">
        <v>0</v>
      </c>
      <c r="F20" s="41">
        <v>0</v>
      </c>
      <c r="G20" s="41">
        <v>0</v>
      </c>
      <c r="H20" s="41">
        <v>0</v>
      </c>
      <c r="I20" s="41">
        <v>0</v>
      </c>
      <c r="J20" s="247">
        <f t="shared" si="0"/>
        <v>44347.5</v>
      </c>
      <c r="K20" s="247">
        <f t="shared" si="0"/>
        <v>44347.5</v>
      </c>
      <c r="L20" s="338">
        <f>('User Volumes'!$AH$11*'Parameter Values'!$B$248)+('User Volumes'!$AH$12*'Parameter Values'!$B$249)</f>
        <v>103806</v>
      </c>
      <c r="M20" s="41">
        <f>('User Volumes'!$AH$11*'Parameter Values'!$B$248)+('User Volumes'!$AH$12*'Parameter Values'!$B$249)</f>
        <v>103806</v>
      </c>
      <c r="O20" s="215" t="s">
        <v>394</v>
      </c>
      <c r="P20" s="224">
        <f>SUM(P18:P19)</f>
        <v>352</v>
      </c>
      <c r="Q20" s="225">
        <f t="shared" ref="Q20:W20" si="5">SUM(Q18:Q19)</f>
        <v>162</v>
      </c>
      <c r="R20" s="229">
        <f t="shared" si="5"/>
        <v>96</v>
      </c>
      <c r="S20" s="225">
        <f t="shared" si="5"/>
        <v>24</v>
      </c>
      <c r="T20" s="233">
        <f t="shared" si="5"/>
        <v>4</v>
      </c>
      <c r="U20" s="224">
        <f t="shared" si="5"/>
        <v>638</v>
      </c>
      <c r="V20" s="244">
        <f t="shared" si="5"/>
        <v>3</v>
      </c>
      <c r="W20" s="237">
        <f t="shared" si="5"/>
        <v>1095</v>
      </c>
      <c r="X20" s="237">
        <f>SUM(X18:X19)</f>
        <v>81</v>
      </c>
      <c r="Y20" s="238">
        <f>SUM(Y18:Y19)</f>
        <v>44347.5</v>
      </c>
      <c r="Z20" s="238">
        <v>10</v>
      </c>
      <c r="AA20" s="238">
        <f>5*W20</f>
        <v>5475</v>
      </c>
      <c r="AB20" s="238">
        <f>(W20*X20)/Z20</f>
        <v>8869.5</v>
      </c>
      <c r="AC20" s="238">
        <v>25</v>
      </c>
      <c r="AD20" s="238">
        <f>2*W20</f>
        <v>2190</v>
      </c>
      <c r="AE20" s="238">
        <f>(W20*X20)/AC20</f>
        <v>3547.8</v>
      </c>
      <c r="AF20"/>
      <c r="AG20" s="281" t="s">
        <v>394</v>
      </c>
      <c r="AH20" s="277">
        <f t="shared" ref="AH20:AL20" si="6">SUM(AH18:AH19)</f>
        <v>1460</v>
      </c>
      <c r="AI20" s="277">
        <f t="shared" si="6"/>
        <v>7300</v>
      </c>
      <c r="AJ20" s="277">
        <f t="shared" si="6"/>
        <v>5926.1399999999994</v>
      </c>
      <c r="AK20" s="290">
        <f t="shared" si="6"/>
        <v>2920</v>
      </c>
      <c r="AL20" s="274">
        <f t="shared" si="6"/>
        <v>3038.625</v>
      </c>
      <c r="AM20"/>
      <c r="AN20"/>
      <c r="AO20"/>
      <c r="AP20"/>
      <c r="AQ20"/>
      <c r="AR20"/>
      <c r="AS20"/>
      <c r="AT20"/>
      <c r="AU20"/>
      <c r="AV20"/>
      <c r="AW20"/>
      <c r="AX20"/>
      <c r="AY20"/>
      <c r="AZ20"/>
      <c r="BA20"/>
      <c r="BB20"/>
      <c r="BC20"/>
      <c r="BD20"/>
      <c r="BE20"/>
      <c r="BF20"/>
      <c r="BG20"/>
      <c r="BH20"/>
      <c r="BI20"/>
      <c r="BJ20" s="14"/>
    </row>
    <row r="21" spans="1:62" x14ac:dyDescent="0.25">
      <c r="A21" s="1">
        <f>IF(A20&lt;'Project Information'!B$11,A20+1,"")</f>
        <v>2039</v>
      </c>
      <c r="B21" s="41">
        <v>0</v>
      </c>
      <c r="C21" s="41">
        <v>0</v>
      </c>
      <c r="D21" s="41">
        <v>0</v>
      </c>
      <c r="E21" s="41">
        <v>0</v>
      </c>
      <c r="F21" s="41">
        <v>0</v>
      </c>
      <c r="G21" s="41">
        <v>0</v>
      </c>
      <c r="H21" s="41">
        <v>0</v>
      </c>
      <c r="I21" s="41">
        <v>0</v>
      </c>
      <c r="J21" s="247">
        <f t="shared" si="0"/>
        <v>44347.5</v>
      </c>
      <c r="K21" s="247">
        <f t="shared" si="0"/>
        <v>44347.5</v>
      </c>
      <c r="L21" s="338">
        <f>('User Volumes'!$AH$11*'Parameter Values'!$B$248)+('User Volumes'!$AH$12*'Parameter Values'!$B$249)</f>
        <v>103806</v>
      </c>
      <c r="M21" s="41">
        <f>('User Volumes'!$AH$11*'Parameter Values'!$B$248)+('User Volumes'!$AH$12*'Parameter Values'!$B$249)</f>
        <v>103806</v>
      </c>
      <c r="O21" s="13"/>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s="14"/>
    </row>
    <row r="22" spans="1:62" x14ac:dyDescent="0.25">
      <c r="A22" s="1">
        <f>IF(A21&lt;'Project Information'!B$11,A21+1,"")</f>
        <v>2040</v>
      </c>
      <c r="B22" s="41">
        <v>0</v>
      </c>
      <c r="C22" s="41">
        <v>0</v>
      </c>
      <c r="D22" s="41">
        <v>0</v>
      </c>
      <c r="E22" s="41">
        <v>0</v>
      </c>
      <c r="F22" s="41">
        <v>0</v>
      </c>
      <c r="G22" s="41">
        <v>0</v>
      </c>
      <c r="H22" s="41">
        <v>0</v>
      </c>
      <c r="I22" s="41">
        <v>0</v>
      </c>
      <c r="J22" s="247">
        <f t="shared" si="0"/>
        <v>44347.5</v>
      </c>
      <c r="K22" s="247">
        <f t="shared" si="0"/>
        <v>44347.5</v>
      </c>
      <c r="L22" s="338">
        <f>('User Volumes'!$AH$11*'Parameter Values'!$B$248)+('User Volumes'!$AH$12*'Parameter Values'!$B$249)</f>
        <v>103806</v>
      </c>
      <c r="M22" s="41">
        <f>('User Volumes'!$AH$11*'Parameter Values'!$B$248)+('User Volumes'!$AH$12*'Parameter Values'!$B$249)</f>
        <v>103806</v>
      </c>
      <c r="O22" s="13"/>
      <c r="P22" s="249" t="s">
        <v>403</v>
      </c>
      <c r="Q22" s="249"/>
      <c r="R22" s="249"/>
      <c r="S22" s="249"/>
      <c r="T22" s="249"/>
      <c r="U22" s="249"/>
      <c r="V22" s="249"/>
      <c r="W22" s="249"/>
      <c r="X22" s="249"/>
      <c r="Y22" s="249"/>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s="14"/>
    </row>
    <row r="23" spans="1:62" x14ac:dyDescent="0.25">
      <c r="A23" s="1">
        <f>IF(A22&lt;'Project Information'!B$11,A22+1,"")</f>
        <v>2041</v>
      </c>
      <c r="B23" s="41">
        <v>0</v>
      </c>
      <c r="C23" s="41">
        <v>0</v>
      </c>
      <c r="D23" s="41">
        <v>0</v>
      </c>
      <c r="E23" s="41">
        <v>0</v>
      </c>
      <c r="F23" s="41">
        <v>0</v>
      </c>
      <c r="G23" s="41">
        <v>0</v>
      </c>
      <c r="H23" s="41">
        <v>0</v>
      </c>
      <c r="I23" s="41">
        <v>0</v>
      </c>
      <c r="J23" s="247">
        <f t="shared" si="0"/>
        <v>44347.5</v>
      </c>
      <c r="K23" s="247">
        <f t="shared" si="0"/>
        <v>44347.5</v>
      </c>
      <c r="L23" s="338">
        <f>('User Volumes'!$AH$11*'Parameter Values'!$B$248)+('User Volumes'!$AH$12*'Parameter Values'!$B$249)</f>
        <v>103806</v>
      </c>
      <c r="M23" s="41">
        <f>('User Volumes'!$AH$11*'Parameter Values'!$B$248)+('User Volumes'!$AH$12*'Parameter Values'!$B$249)</f>
        <v>103806</v>
      </c>
      <c r="O23" s="13"/>
      <c r="P23" s="190" t="s">
        <v>408</v>
      </c>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s="14"/>
    </row>
    <row r="24" spans="1:62" x14ac:dyDescent="0.25">
      <c r="A24" s="1">
        <f>IF(A23&lt;'Project Information'!B$11,A23+1,"")</f>
        <v>2042</v>
      </c>
      <c r="B24" s="41">
        <v>0</v>
      </c>
      <c r="C24" s="41">
        <v>0</v>
      </c>
      <c r="D24" s="41">
        <v>0</v>
      </c>
      <c r="E24" s="41">
        <v>0</v>
      </c>
      <c r="F24" s="41">
        <v>0</v>
      </c>
      <c r="G24" s="41">
        <v>0</v>
      </c>
      <c r="H24" s="41">
        <v>0</v>
      </c>
      <c r="I24" s="41">
        <v>0</v>
      </c>
      <c r="J24" s="247">
        <f t="shared" si="0"/>
        <v>44347.5</v>
      </c>
      <c r="K24" s="247">
        <f t="shared" si="0"/>
        <v>44347.5</v>
      </c>
      <c r="L24" s="338">
        <f>('User Volumes'!$AH$11*'Parameter Values'!$B$248)+('User Volumes'!$AH$12*'Parameter Values'!$B$249)</f>
        <v>103806</v>
      </c>
      <c r="M24" s="41">
        <f>('User Volumes'!$AH$11*'Parameter Values'!$B$248)+('User Volumes'!$AH$12*'Parameter Values'!$B$249)</f>
        <v>103806</v>
      </c>
      <c r="O24" s="13"/>
      <c r="P24" s="248" t="s">
        <v>404</v>
      </c>
      <c r="Q24"/>
      <c r="R24"/>
      <c r="S24" s="174"/>
      <c r="T24"/>
      <c r="U24"/>
      <c r="V24" s="250"/>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s="14"/>
    </row>
    <row r="25" spans="1:62" x14ac:dyDescent="0.25">
      <c r="A25" s="1">
        <f>IF(A24&lt;'Project Information'!B$11,A24+1,"")</f>
        <v>2043</v>
      </c>
      <c r="B25" s="41">
        <v>0</v>
      </c>
      <c r="C25" s="41">
        <v>0</v>
      </c>
      <c r="D25" s="41">
        <v>0</v>
      </c>
      <c r="E25" s="41">
        <v>0</v>
      </c>
      <c r="F25" s="41">
        <v>0</v>
      </c>
      <c r="G25" s="41">
        <v>0</v>
      </c>
      <c r="H25" s="41">
        <v>0</v>
      </c>
      <c r="I25" s="41">
        <v>0</v>
      </c>
      <c r="J25" s="247">
        <f t="shared" si="0"/>
        <v>44347.5</v>
      </c>
      <c r="K25" s="247">
        <f t="shared" si="0"/>
        <v>44347.5</v>
      </c>
      <c r="L25" s="338">
        <f>('User Volumes'!$AH$11*'Parameter Values'!$B$248)+('User Volumes'!$AH$12*'Parameter Values'!$B$249)</f>
        <v>103806</v>
      </c>
      <c r="M25" s="41">
        <f>('User Volumes'!$AH$11*'Parameter Values'!$B$248)+('User Volumes'!$AH$12*'Parameter Values'!$B$249)</f>
        <v>103806</v>
      </c>
      <c r="O25" s="13"/>
      <c r="P25" s="175"/>
      <c r="Q25"/>
      <c r="R25"/>
      <c r="S25" s="174"/>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s="14"/>
    </row>
    <row r="26" spans="1:62" x14ac:dyDescent="0.25">
      <c r="A26" s="1">
        <f>IF(A25&lt;'Project Information'!B$11,A25+1,"")</f>
        <v>2044</v>
      </c>
      <c r="B26" s="41">
        <v>0</v>
      </c>
      <c r="C26" s="41">
        <v>0</v>
      </c>
      <c r="D26" s="41">
        <v>0</v>
      </c>
      <c r="E26" s="41">
        <v>0</v>
      </c>
      <c r="F26" s="41">
        <v>0</v>
      </c>
      <c r="G26" s="41">
        <v>0</v>
      </c>
      <c r="H26" s="41">
        <v>0</v>
      </c>
      <c r="I26" s="41">
        <v>0</v>
      </c>
      <c r="J26" s="247">
        <f t="shared" si="0"/>
        <v>44347.5</v>
      </c>
      <c r="K26" s="247">
        <f t="shared" si="0"/>
        <v>44347.5</v>
      </c>
      <c r="L26" s="338">
        <f>('User Volumes'!$AH$11*'Parameter Values'!$B$248)+('User Volumes'!$AH$12*'Parameter Values'!$B$249)</f>
        <v>103806</v>
      </c>
      <c r="M26" s="41">
        <f>('User Volumes'!$AH$11*'Parameter Values'!$B$248)+('User Volumes'!$AH$12*'Parameter Values'!$B$249)</f>
        <v>103806</v>
      </c>
      <c r="O26" s="13"/>
      <c r="P26" s="175"/>
      <c r="Q26" t="s">
        <v>411</v>
      </c>
      <c r="R26"/>
      <c r="S26" s="174"/>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s="14"/>
    </row>
    <row r="27" spans="1:62" x14ac:dyDescent="0.25">
      <c r="A27" s="1">
        <f>IF(A26&lt;'Project Information'!B$11,A26+1,"")</f>
        <v>2045</v>
      </c>
      <c r="B27" s="41">
        <v>0</v>
      </c>
      <c r="C27" s="41">
        <v>0</v>
      </c>
      <c r="D27" s="41">
        <v>0</v>
      </c>
      <c r="E27" s="41">
        <v>0</v>
      </c>
      <c r="F27" s="41">
        <v>0</v>
      </c>
      <c r="G27" s="41">
        <v>0</v>
      </c>
      <c r="H27" s="41">
        <v>0</v>
      </c>
      <c r="I27" s="41">
        <v>0</v>
      </c>
      <c r="J27" s="247">
        <f t="shared" si="0"/>
        <v>44347.5</v>
      </c>
      <c r="K27" s="247">
        <f t="shared" si="0"/>
        <v>44347.5</v>
      </c>
      <c r="L27" s="338">
        <f>('User Volumes'!$AH$11*'Parameter Values'!$B$248)+('User Volumes'!$AH$12*'Parameter Values'!$B$249)</f>
        <v>103806</v>
      </c>
      <c r="M27" s="41">
        <f>('User Volumes'!$AH$11*'Parameter Values'!$B$248)+('User Volumes'!$AH$12*'Parameter Values'!$B$249)</f>
        <v>103806</v>
      </c>
      <c r="O27" s="13"/>
      <c r="P27" s="175"/>
      <c r="Q27"/>
      <c r="R27"/>
      <c r="S27" s="174"/>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s="14"/>
    </row>
    <row r="28" spans="1:62" x14ac:dyDescent="0.25">
      <c r="A28" s="1">
        <f>IF(A27&lt;'Project Information'!B$11,A27+1,"")</f>
        <v>2046</v>
      </c>
      <c r="B28" s="41">
        <v>0</v>
      </c>
      <c r="C28" s="41">
        <v>0</v>
      </c>
      <c r="D28" s="41">
        <v>0</v>
      </c>
      <c r="E28" s="41">
        <v>0</v>
      </c>
      <c r="F28" s="41">
        <v>0</v>
      </c>
      <c r="G28" s="41">
        <v>0</v>
      </c>
      <c r="H28" s="41">
        <v>0</v>
      </c>
      <c r="I28" s="41">
        <v>0</v>
      </c>
      <c r="J28" s="247">
        <f t="shared" si="0"/>
        <v>44347.5</v>
      </c>
      <c r="K28" s="247">
        <f t="shared" si="0"/>
        <v>44347.5</v>
      </c>
      <c r="L28" s="338">
        <f>('User Volumes'!$AH$11*'Parameter Values'!$B$248)+('User Volumes'!$AH$12*'Parameter Values'!$B$249)</f>
        <v>103806</v>
      </c>
      <c r="M28" s="41">
        <f>('User Volumes'!$AH$11*'Parameter Values'!$B$248)+('User Volumes'!$AH$12*'Parameter Values'!$B$249)</f>
        <v>103806</v>
      </c>
      <c r="O28" s="13"/>
      <c r="P28" s="175"/>
      <c r="Q28"/>
      <c r="R28"/>
      <c r="S28" s="174"/>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s="14"/>
    </row>
    <row r="29" spans="1:62" x14ac:dyDescent="0.25">
      <c r="A29" s="1">
        <f>IF(A28&lt;'Project Information'!B$11,A28+1,"")</f>
        <v>2047</v>
      </c>
      <c r="B29" s="41">
        <v>0</v>
      </c>
      <c r="C29" s="41">
        <v>0</v>
      </c>
      <c r="D29" s="41">
        <v>0</v>
      </c>
      <c r="E29" s="41">
        <v>0</v>
      </c>
      <c r="F29" s="41">
        <v>0</v>
      </c>
      <c r="G29" s="41">
        <v>0</v>
      </c>
      <c r="H29" s="41">
        <v>0</v>
      </c>
      <c r="I29" s="41">
        <v>0</v>
      </c>
      <c r="J29" s="247">
        <f t="shared" si="0"/>
        <v>44347.5</v>
      </c>
      <c r="K29" s="247">
        <f t="shared" si="0"/>
        <v>44347.5</v>
      </c>
      <c r="L29" s="338">
        <f>('User Volumes'!$AH$11*'Parameter Values'!$B$248)+('User Volumes'!$AH$12*'Parameter Values'!$B$249)</f>
        <v>103806</v>
      </c>
      <c r="M29" s="41">
        <f>('User Volumes'!$AH$11*'Parameter Values'!$B$248)+('User Volumes'!$AH$12*'Parameter Values'!$B$249)</f>
        <v>103806</v>
      </c>
      <c r="O29" s="13"/>
      <c r="P29" s="175"/>
      <c r="Q29"/>
      <c r="R29"/>
      <c r="S29" s="174"/>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s="14"/>
    </row>
    <row r="30" spans="1:62" x14ac:dyDescent="0.25">
      <c r="A30" s="1">
        <f>IF(A29&lt;'Project Information'!B$11,A29+1,"")</f>
        <v>2048</v>
      </c>
      <c r="B30" s="41">
        <v>0</v>
      </c>
      <c r="C30" s="41">
        <v>0</v>
      </c>
      <c r="D30" s="41">
        <v>0</v>
      </c>
      <c r="E30" s="41">
        <v>0</v>
      </c>
      <c r="F30" s="41">
        <v>0</v>
      </c>
      <c r="G30" s="41">
        <v>0</v>
      </c>
      <c r="H30" s="41">
        <v>0</v>
      </c>
      <c r="I30" s="41">
        <v>0</v>
      </c>
      <c r="J30" s="247">
        <f t="shared" si="0"/>
        <v>44347.5</v>
      </c>
      <c r="K30" s="247">
        <f t="shared" si="0"/>
        <v>44347.5</v>
      </c>
      <c r="L30" s="338">
        <f>('User Volumes'!$AH$11*'Parameter Values'!$B$248)+('User Volumes'!$AH$12*'Parameter Values'!$B$249)</f>
        <v>103806</v>
      </c>
      <c r="M30" s="41">
        <f>('User Volumes'!$AH$11*'Parameter Values'!$B$248)+('User Volumes'!$AH$12*'Parameter Values'!$B$249)</f>
        <v>103806</v>
      </c>
      <c r="O30" s="13"/>
      <c r="P30" s="175"/>
      <c r="Q30"/>
      <c r="R30"/>
      <c r="S30" s="174"/>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s="14"/>
    </row>
    <row r="31" spans="1:62" x14ac:dyDescent="0.25">
      <c r="A31" s="1">
        <f>IF(A30&lt;'Project Information'!B$11,A30+1,"")</f>
        <v>2049</v>
      </c>
      <c r="B31" s="41">
        <v>0</v>
      </c>
      <c r="C31" s="41">
        <v>0</v>
      </c>
      <c r="D31" s="41">
        <v>0</v>
      </c>
      <c r="E31" s="41">
        <v>0</v>
      </c>
      <c r="F31" s="41">
        <v>0</v>
      </c>
      <c r="G31" s="41">
        <v>0</v>
      </c>
      <c r="H31" s="41">
        <v>0</v>
      </c>
      <c r="I31" s="41">
        <v>0</v>
      </c>
      <c r="J31" s="247">
        <f t="shared" si="0"/>
        <v>44347.5</v>
      </c>
      <c r="K31" s="247">
        <f t="shared" si="0"/>
        <v>44347.5</v>
      </c>
      <c r="L31" s="338">
        <f>('User Volumes'!$AH$11*'Parameter Values'!$B$248)+('User Volumes'!$AH$12*'Parameter Values'!$B$249)</f>
        <v>103806</v>
      </c>
      <c r="M31" s="41">
        <f>('User Volumes'!$AH$11*'Parameter Values'!$B$248)+('User Volumes'!$AH$12*'Parameter Values'!$B$249)</f>
        <v>103806</v>
      </c>
      <c r="O31" s="13"/>
      <c r="P31" s="175"/>
      <c r="Q31"/>
      <c r="R31"/>
      <c r="S31" s="174"/>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s="14"/>
    </row>
    <row r="32" spans="1:62" x14ac:dyDescent="0.25">
      <c r="A32" s="1">
        <f>IF(A31&lt;'Project Information'!B$11,A31+1,"")</f>
        <v>2050</v>
      </c>
      <c r="B32" s="41">
        <v>0</v>
      </c>
      <c r="C32" s="41">
        <v>0</v>
      </c>
      <c r="D32" s="41">
        <v>0</v>
      </c>
      <c r="E32" s="41">
        <v>0</v>
      </c>
      <c r="F32" s="41">
        <v>0</v>
      </c>
      <c r="G32" s="41">
        <v>0</v>
      </c>
      <c r="H32" s="41">
        <v>0</v>
      </c>
      <c r="I32" s="41">
        <v>0</v>
      </c>
      <c r="J32" s="247">
        <f t="shared" si="0"/>
        <v>44347.5</v>
      </c>
      <c r="K32" s="247">
        <f t="shared" si="0"/>
        <v>44347.5</v>
      </c>
      <c r="L32" s="338">
        <f>('User Volumes'!$AH$11*'Parameter Values'!$B$248)+('User Volumes'!$AH$12*'Parameter Values'!$B$249)</f>
        <v>103806</v>
      </c>
      <c r="M32" s="41">
        <f>('User Volumes'!$AH$11*'Parameter Values'!$B$248)+('User Volumes'!$AH$12*'Parameter Values'!$B$249)</f>
        <v>103806</v>
      </c>
      <c r="O32" s="13"/>
      <c r="P32" s="175"/>
      <c r="Q32"/>
      <c r="R32"/>
      <c r="S32" s="174"/>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s="14"/>
    </row>
    <row r="33" spans="1:62" x14ac:dyDescent="0.25">
      <c r="A33" s="1">
        <f>IF(A32&lt;'Project Information'!B$11,A32+1,"")</f>
        <v>2051</v>
      </c>
      <c r="B33" s="41">
        <v>0</v>
      </c>
      <c r="C33" s="41">
        <v>0</v>
      </c>
      <c r="D33" s="41">
        <v>0</v>
      </c>
      <c r="E33" s="41">
        <v>0</v>
      </c>
      <c r="F33" s="41">
        <v>0</v>
      </c>
      <c r="G33" s="41">
        <v>0</v>
      </c>
      <c r="H33" s="41">
        <v>0</v>
      </c>
      <c r="I33" s="41">
        <v>0</v>
      </c>
      <c r="J33" s="247">
        <f t="shared" si="0"/>
        <v>44347.5</v>
      </c>
      <c r="K33" s="247">
        <f t="shared" si="0"/>
        <v>44347.5</v>
      </c>
      <c r="L33" s="338">
        <f>('User Volumes'!$AH$11*'Parameter Values'!$B$248)+('User Volumes'!$AH$12*'Parameter Values'!$B$249)</f>
        <v>103806</v>
      </c>
      <c r="M33" s="41">
        <f>('User Volumes'!$AH$11*'Parameter Values'!$B$248)+('User Volumes'!$AH$12*'Parameter Values'!$B$249)</f>
        <v>103806</v>
      </c>
      <c r="O33" s="13"/>
      <c r="P33" s="175"/>
      <c r="Q33"/>
      <c r="R33"/>
      <c r="S33" s="174"/>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s="14"/>
    </row>
    <row r="34" spans="1:62" x14ac:dyDescent="0.25">
      <c r="A34" s="1">
        <f>IF(A33&lt;'Project Information'!B$11,A33+1,"")</f>
        <v>2052</v>
      </c>
      <c r="B34" s="41">
        <v>0</v>
      </c>
      <c r="C34" s="41">
        <v>0</v>
      </c>
      <c r="D34" s="41">
        <v>0</v>
      </c>
      <c r="E34" s="41">
        <v>0</v>
      </c>
      <c r="F34" s="41">
        <v>0</v>
      </c>
      <c r="G34" s="41">
        <v>0</v>
      </c>
      <c r="H34" s="41">
        <v>0</v>
      </c>
      <c r="I34" s="41">
        <v>0</v>
      </c>
      <c r="J34" s="247">
        <f t="shared" si="0"/>
        <v>44347.5</v>
      </c>
      <c r="K34" s="247">
        <f t="shared" si="0"/>
        <v>44347.5</v>
      </c>
      <c r="L34" s="338">
        <f>('User Volumes'!$AH$11*'Parameter Values'!$B$248)+('User Volumes'!$AH$12*'Parameter Values'!$B$249)</f>
        <v>103806</v>
      </c>
      <c r="M34" s="41">
        <f>('User Volumes'!$AH$11*'Parameter Values'!$B$248)+('User Volumes'!$AH$12*'Parameter Values'!$B$249)</f>
        <v>103806</v>
      </c>
      <c r="O34" s="13"/>
      <c r="P34" s="175"/>
      <c r="Q34"/>
      <c r="R34"/>
      <c r="S34" s="17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s="14"/>
    </row>
    <row r="35" spans="1:62" x14ac:dyDescent="0.25">
      <c r="A35" s="1" t="str">
        <f>IF(A34&lt;'Project Information'!B$11,A34+1,"")</f>
        <v/>
      </c>
      <c r="B35" s="41">
        <v>0</v>
      </c>
      <c r="C35" s="41">
        <v>0</v>
      </c>
      <c r="D35" s="41">
        <v>0</v>
      </c>
      <c r="E35" s="41">
        <v>0</v>
      </c>
      <c r="F35" s="41">
        <v>0</v>
      </c>
      <c r="G35" s="41">
        <v>0</v>
      </c>
      <c r="H35" s="41">
        <v>0</v>
      </c>
      <c r="I35" s="41">
        <v>0</v>
      </c>
      <c r="J35" s="41">
        <v>0</v>
      </c>
      <c r="K35" s="41">
        <v>0</v>
      </c>
      <c r="L35" s="41">
        <v>0</v>
      </c>
      <c r="M35" s="41">
        <v>0</v>
      </c>
      <c r="O35" s="13"/>
      <c r="P35" s="175"/>
      <c r="Q35"/>
      <c r="R35"/>
      <c r="S35" s="174"/>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s="14"/>
    </row>
    <row r="36" spans="1:62" x14ac:dyDescent="0.25">
      <c r="A36" s="1" t="str">
        <f>IF(A35&lt;'Project Information'!B$11,A35+1,"")</f>
        <v/>
      </c>
      <c r="B36" s="41">
        <v>0</v>
      </c>
      <c r="C36" s="41">
        <v>0</v>
      </c>
      <c r="D36" s="41">
        <v>0</v>
      </c>
      <c r="E36" s="41">
        <v>0</v>
      </c>
      <c r="F36" s="41">
        <v>0</v>
      </c>
      <c r="G36" s="41">
        <v>0</v>
      </c>
      <c r="H36" s="41">
        <v>0</v>
      </c>
      <c r="I36" s="41">
        <v>0</v>
      </c>
      <c r="J36" s="41">
        <v>0</v>
      </c>
      <c r="K36" s="41">
        <v>0</v>
      </c>
      <c r="L36" s="41">
        <v>0</v>
      </c>
      <c r="M36" s="41">
        <v>0</v>
      </c>
      <c r="O36" s="13"/>
      <c r="P36"/>
      <c r="Q36"/>
      <c r="R36"/>
      <c r="S36" s="174"/>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s="14"/>
    </row>
    <row r="37" spans="1:62" x14ac:dyDescent="0.25">
      <c r="A37" s="1" t="str">
        <f>IF(A36&lt;'Project Information'!B$11,A36+1,"")</f>
        <v/>
      </c>
      <c r="B37" s="41">
        <v>0</v>
      </c>
      <c r="C37" s="41">
        <v>0</v>
      </c>
      <c r="D37" s="41">
        <v>0</v>
      </c>
      <c r="E37" s="41">
        <v>0</v>
      </c>
      <c r="F37" s="41">
        <v>0</v>
      </c>
      <c r="G37" s="41">
        <v>0</v>
      </c>
      <c r="H37" s="41">
        <v>0</v>
      </c>
      <c r="I37" s="41">
        <v>0</v>
      </c>
      <c r="J37" s="41">
        <v>0</v>
      </c>
      <c r="K37" s="41">
        <v>0</v>
      </c>
      <c r="L37" s="41">
        <v>0</v>
      </c>
      <c r="M37" s="41">
        <v>0</v>
      </c>
      <c r="O37" s="13"/>
      <c r="P37"/>
      <c r="Q37"/>
      <c r="R37"/>
      <c r="S37" s="174"/>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s="14"/>
    </row>
    <row r="38" spans="1:62" x14ac:dyDescent="0.25">
      <c r="A38" s="1" t="str">
        <f>IF(A37&lt;'Project Information'!B$11,A37+1,"")</f>
        <v/>
      </c>
      <c r="B38" s="41">
        <v>0</v>
      </c>
      <c r="C38" s="41">
        <v>0</v>
      </c>
      <c r="D38" s="41">
        <v>0</v>
      </c>
      <c r="E38" s="41">
        <v>0</v>
      </c>
      <c r="F38" s="41">
        <v>0</v>
      </c>
      <c r="G38" s="41">
        <v>0</v>
      </c>
      <c r="H38" s="41">
        <v>0</v>
      </c>
      <c r="I38" s="41">
        <v>0</v>
      </c>
      <c r="J38" s="41">
        <v>0</v>
      </c>
      <c r="K38" s="41">
        <v>0</v>
      </c>
      <c r="L38" s="41">
        <v>0</v>
      </c>
      <c r="M38" s="41">
        <v>0</v>
      </c>
      <c r="O38" s="13"/>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s="14"/>
    </row>
    <row r="39" spans="1:62" x14ac:dyDescent="0.25">
      <c r="A39" s="1" t="str">
        <f>IF(A38&lt;'Project Information'!B$11,A38+1,"")</f>
        <v/>
      </c>
      <c r="B39" s="41">
        <v>0</v>
      </c>
      <c r="C39" s="41">
        <v>0</v>
      </c>
      <c r="D39" s="41">
        <v>0</v>
      </c>
      <c r="E39" s="41">
        <v>0</v>
      </c>
      <c r="F39" s="41">
        <v>0</v>
      </c>
      <c r="G39" s="41">
        <v>0</v>
      </c>
      <c r="H39" s="41">
        <v>0</v>
      </c>
      <c r="I39" s="41">
        <v>0</v>
      </c>
      <c r="J39" s="41">
        <v>0</v>
      </c>
      <c r="K39" s="41">
        <v>0</v>
      </c>
      <c r="L39" s="41">
        <v>0</v>
      </c>
      <c r="M39" s="41">
        <v>0</v>
      </c>
      <c r="O39" s="13"/>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s="14"/>
    </row>
    <row r="40" spans="1:62" s="5" customFormat="1" x14ac:dyDescent="0.25">
      <c r="O40" s="143"/>
      <c r="BJ40" s="144"/>
    </row>
    <row r="41" spans="1:62" s="5" customFormat="1" x14ac:dyDescent="0.25">
      <c r="A41" s="190" t="s">
        <v>354</v>
      </c>
      <c r="O41" s="143"/>
      <c r="BJ41" s="144"/>
    </row>
    <row r="42" spans="1:62" s="5" customFormat="1" x14ac:dyDescent="0.25">
      <c r="A42" s="5" t="s">
        <v>384</v>
      </c>
      <c r="O42" s="143"/>
      <c r="BJ42" s="144"/>
    </row>
    <row r="43" spans="1:62" s="5" customFormat="1" x14ac:dyDescent="0.25">
      <c r="A43" s="5" t="s">
        <v>399</v>
      </c>
      <c r="O43" s="143"/>
      <c r="BJ43" s="144"/>
    </row>
    <row r="44" spans="1:62" s="5" customFormat="1" x14ac:dyDescent="0.25">
      <c r="O44" s="143"/>
      <c r="BJ44" s="144"/>
    </row>
    <row r="45" spans="1:62" s="5" customFormat="1" x14ac:dyDescent="0.25">
      <c r="O45" s="143"/>
      <c r="BJ45" s="144"/>
    </row>
    <row r="46" spans="1:62" s="5" customFormat="1" x14ac:dyDescent="0.25">
      <c r="O46" s="143"/>
      <c r="BJ46" s="144"/>
    </row>
    <row r="47" spans="1:62" s="5" customFormat="1" x14ac:dyDescent="0.25">
      <c r="O47" s="143"/>
      <c r="BJ47" s="144"/>
    </row>
    <row r="48" spans="1:62" s="5" customFormat="1" ht="15.75" thickBot="1" x14ac:dyDescent="0.3">
      <c r="O48" s="145"/>
      <c r="P48" s="146"/>
      <c r="Q48" s="146"/>
      <c r="R48" s="146"/>
      <c r="S48" s="146"/>
      <c r="T48" s="146"/>
      <c r="U48" s="146"/>
      <c r="V48" s="146"/>
      <c r="W48" s="146"/>
      <c r="X48" s="146"/>
      <c r="Y48" s="146"/>
      <c r="Z48" s="146"/>
      <c r="AA48" s="146"/>
      <c r="AB48" s="146"/>
      <c r="AC48" s="146"/>
      <c r="AD48" s="146"/>
      <c r="AE48" s="146"/>
      <c r="AF48" s="146"/>
      <c r="AG48" s="146"/>
      <c r="AH48" s="146"/>
      <c r="AI48" s="146"/>
      <c r="AJ48" s="146"/>
      <c r="AK48" s="146"/>
      <c r="AL48" s="146"/>
      <c r="AM48" s="146"/>
      <c r="AN48" s="146"/>
      <c r="AO48" s="146"/>
      <c r="AP48" s="146"/>
      <c r="AQ48" s="146"/>
      <c r="AR48" s="146"/>
      <c r="AS48" s="146"/>
      <c r="AT48" s="146"/>
      <c r="AU48" s="146"/>
      <c r="AV48" s="146"/>
      <c r="AW48" s="146"/>
      <c r="AX48" s="146"/>
      <c r="AY48" s="146"/>
      <c r="AZ48" s="146"/>
      <c r="BA48" s="146"/>
      <c r="BB48" s="146"/>
      <c r="BC48" s="146"/>
      <c r="BD48" s="146"/>
      <c r="BE48" s="146"/>
      <c r="BF48" s="146"/>
      <c r="BG48" s="146"/>
      <c r="BH48" s="146"/>
      <c r="BI48" s="146"/>
      <c r="BJ48" s="147"/>
    </row>
    <row r="49" s="5" customFormat="1" x14ac:dyDescent="0.25"/>
    <row r="50" s="5" customFormat="1" x14ac:dyDescent="0.25"/>
    <row r="51" s="5" customFormat="1" x14ac:dyDescent="0.25"/>
    <row r="52" s="5" customFormat="1" x14ac:dyDescent="0.25"/>
    <row r="53" s="5" customFormat="1" x14ac:dyDescent="0.25"/>
    <row r="54" s="5" customFormat="1" x14ac:dyDescent="0.25"/>
    <row r="55" s="5" customFormat="1" x14ac:dyDescent="0.25"/>
    <row r="56" s="5" customFormat="1" x14ac:dyDescent="0.25"/>
    <row r="57" s="5" customFormat="1" x14ac:dyDescent="0.25"/>
    <row r="58" s="5" customFormat="1" x14ac:dyDescent="0.25"/>
    <row r="59" s="5" customFormat="1" x14ac:dyDescent="0.25"/>
    <row r="60" s="5" customFormat="1" x14ac:dyDescent="0.25"/>
    <row r="61" s="5" customFormat="1" x14ac:dyDescent="0.25"/>
    <row r="62" s="5" customFormat="1" x14ac:dyDescent="0.25"/>
    <row r="63" s="5" customFormat="1" x14ac:dyDescent="0.25"/>
    <row r="64" s="5" customFormat="1" x14ac:dyDescent="0.25"/>
    <row r="65" s="5" customFormat="1" x14ac:dyDescent="0.25"/>
    <row r="66" s="5" customFormat="1" x14ac:dyDescent="0.25"/>
    <row r="67" s="5" customFormat="1" x14ac:dyDescent="0.25"/>
    <row r="68" s="5" customFormat="1" x14ac:dyDescent="0.25"/>
    <row r="69" s="5" customFormat="1" x14ac:dyDescent="0.25"/>
    <row r="70" s="5" customFormat="1" x14ac:dyDescent="0.25"/>
    <row r="71" s="5" customFormat="1" x14ac:dyDescent="0.25"/>
    <row r="72" s="5" customFormat="1" x14ac:dyDescent="0.25"/>
    <row r="73" s="5" customFormat="1" x14ac:dyDescent="0.25"/>
    <row r="74" s="5" customFormat="1" x14ac:dyDescent="0.25"/>
    <row r="75" s="5" customFormat="1" x14ac:dyDescent="0.25"/>
    <row r="76" s="5" customFormat="1" x14ac:dyDescent="0.25"/>
    <row r="77" s="5" customFormat="1" x14ac:dyDescent="0.25"/>
    <row r="78" s="5" customFormat="1" x14ac:dyDescent="0.25"/>
    <row r="79" s="5" customFormat="1" x14ac:dyDescent="0.25"/>
    <row r="80" s="5" customFormat="1" x14ac:dyDescent="0.25"/>
    <row r="81" s="5" customFormat="1" x14ac:dyDescent="0.25"/>
    <row r="82" s="5" customFormat="1" x14ac:dyDescent="0.25"/>
    <row r="83" s="5" customFormat="1" x14ac:dyDescent="0.25"/>
    <row r="84" s="5" customFormat="1" x14ac:dyDescent="0.25"/>
    <row r="85" s="5" customFormat="1" x14ac:dyDescent="0.25"/>
    <row r="86" s="5" customFormat="1" x14ac:dyDescent="0.25"/>
    <row r="87" s="5" customFormat="1" x14ac:dyDescent="0.25"/>
    <row r="88" s="5" customFormat="1" x14ac:dyDescent="0.25"/>
    <row r="89" s="5" customFormat="1" x14ac:dyDescent="0.25"/>
    <row r="90" s="5" customFormat="1" x14ac:dyDescent="0.25"/>
    <row r="91" s="5" customFormat="1" x14ac:dyDescent="0.25"/>
    <row r="92" s="5" customFormat="1" x14ac:dyDescent="0.25"/>
    <row r="93" s="5" customFormat="1" x14ac:dyDescent="0.25"/>
    <row r="94" s="5" customFormat="1" x14ac:dyDescent="0.25"/>
    <row r="95" s="5" customFormat="1" x14ac:dyDescent="0.25"/>
    <row r="96" s="5" customFormat="1" x14ac:dyDescent="0.25"/>
    <row r="97" s="5" customFormat="1" x14ac:dyDescent="0.25"/>
    <row r="98" s="5" customFormat="1" x14ac:dyDescent="0.25"/>
    <row r="99" s="5" customFormat="1" x14ac:dyDescent="0.25"/>
    <row r="100" s="5" customFormat="1" x14ac:dyDescent="0.25"/>
    <row r="101" s="5" customFormat="1" x14ac:dyDescent="0.25"/>
    <row r="102" s="5" customFormat="1" x14ac:dyDescent="0.25"/>
    <row r="103" s="5" customFormat="1" x14ac:dyDescent="0.25"/>
    <row r="104" s="5" customFormat="1" x14ac:dyDescent="0.25"/>
    <row r="105" s="5" customFormat="1" x14ac:dyDescent="0.25"/>
    <row r="106" s="5" customFormat="1" x14ac:dyDescent="0.25"/>
    <row r="107" s="5" customFormat="1" x14ac:dyDescent="0.25"/>
    <row r="108" s="5" customFormat="1" x14ac:dyDescent="0.25"/>
    <row r="109" s="5" customFormat="1" x14ac:dyDescent="0.25"/>
    <row r="110" s="5" customFormat="1" x14ac:dyDescent="0.25"/>
    <row r="111" s="5" customFormat="1" x14ac:dyDescent="0.25"/>
    <row r="112" s="5" customFormat="1" x14ac:dyDescent="0.25"/>
    <row r="113" s="5" customFormat="1" x14ac:dyDescent="0.25"/>
    <row r="114" s="5" customFormat="1" x14ac:dyDescent="0.25"/>
    <row r="115" s="5" customFormat="1" x14ac:dyDescent="0.25"/>
    <row r="116" s="5" customFormat="1" x14ac:dyDescent="0.25"/>
    <row r="117" s="5" customFormat="1" x14ac:dyDescent="0.25"/>
    <row r="118" s="5" customFormat="1" x14ac:dyDescent="0.25"/>
    <row r="119" s="5" customFormat="1" x14ac:dyDescent="0.25"/>
    <row r="120" s="5" customFormat="1" x14ac:dyDescent="0.25"/>
    <row r="121" s="5" customFormat="1" x14ac:dyDescent="0.25"/>
    <row r="122" s="5" customFormat="1" x14ac:dyDescent="0.25"/>
    <row r="123" s="5" customFormat="1" x14ac:dyDescent="0.25"/>
    <row r="124" s="5" customFormat="1" x14ac:dyDescent="0.25"/>
    <row r="125" s="5" customFormat="1" x14ac:dyDescent="0.25"/>
    <row r="126" s="5" customFormat="1" x14ac:dyDescent="0.25"/>
    <row r="127" s="5" customFormat="1" x14ac:dyDescent="0.25"/>
    <row r="128" s="5" customFormat="1" x14ac:dyDescent="0.25"/>
    <row r="129" s="5" customFormat="1" x14ac:dyDescent="0.25"/>
    <row r="130" s="5" customFormat="1" x14ac:dyDescent="0.25"/>
    <row r="131" s="5" customFormat="1" x14ac:dyDescent="0.25"/>
    <row r="132" s="5" customFormat="1" x14ac:dyDescent="0.25"/>
    <row r="133" s="5" customFormat="1" x14ac:dyDescent="0.25"/>
    <row r="134" s="5" customFormat="1" x14ac:dyDescent="0.25"/>
    <row r="135" s="5" customFormat="1" x14ac:dyDescent="0.25"/>
    <row r="136" s="5" customFormat="1" x14ac:dyDescent="0.25"/>
    <row r="137" s="5" customFormat="1" x14ac:dyDescent="0.25"/>
    <row r="138" s="5" customFormat="1" x14ac:dyDescent="0.25"/>
    <row r="139" s="5" customFormat="1" x14ac:dyDescent="0.25"/>
    <row r="140" s="5" customFormat="1" x14ac:dyDescent="0.25"/>
    <row r="141" s="5" customFormat="1" x14ac:dyDescent="0.25"/>
    <row r="142" s="5" customFormat="1" x14ac:dyDescent="0.25"/>
    <row r="143" s="5" customFormat="1" x14ac:dyDescent="0.25"/>
    <row r="144" s="5" customFormat="1" x14ac:dyDescent="0.25"/>
    <row r="145" s="5" customFormat="1" x14ac:dyDescent="0.25"/>
    <row r="146" s="5" customFormat="1" x14ac:dyDescent="0.25"/>
    <row r="147" s="5" customFormat="1" x14ac:dyDescent="0.25"/>
    <row r="148" s="5" customFormat="1" x14ac:dyDescent="0.25"/>
    <row r="149" s="5" customFormat="1" x14ac:dyDescent="0.25"/>
    <row r="150" s="5" customFormat="1" x14ac:dyDescent="0.25"/>
    <row r="151" s="5" customFormat="1" x14ac:dyDescent="0.25"/>
    <row r="152" s="5" customFormat="1" x14ac:dyDescent="0.25"/>
    <row r="153" s="5" customFormat="1" x14ac:dyDescent="0.25"/>
    <row r="154" s="5" customFormat="1" x14ac:dyDescent="0.25"/>
    <row r="155" s="5" customFormat="1" x14ac:dyDescent="0.25"/>
    <row r="156" s="5" customFormat="1" x14ac:dyDescent="0.25"/>
    <row r="157" s="5" customFormat="1" x14ac:dyDescent="0.25"/>
    <row r="158" s="5" customFormat="1" x14ac:dyDescent="0.25"/>
    <row r="159" s="5" customFormat="1" x14ac:dyDescent="0.25"/>
    <row r="160" s="5" customFormat="1" x14ac:dyDescent="0.25"/>
    <row r="161" s="5" customFormat="1" x14ac:dyDescent="0.25"/>
    <row r="162" s="5" customFormat="1" x14ac:dyDescent="0.25"/>
    <row r="163" s="5" customFormat="1" x14ac:dyDescent="0.25"/>
    <row r="164" s="5" customFormat="1" x14ac:dyDescent="0.25"/>
    <row r="165" s="5" customFormat="1" x14ac:dyDescent="0.25"/>
    <row r="166" s="5" customFormat="1" x14ac:dyDescent="0.25"/>
    <row r="167" s="5" customFormat="1" x14ac:dyDescent="0.25"/>
    <row r="168" s="5" customFormat="1" x14ac:dyDescent="0.25"/>
    <row r="169" s="5" customFormat="1" x14ac:dyDescent="0.25"/>
    <row r="170" s="5" customFormat="1" x14ac:dyDescent="0.25"/>
    <row r="171" s="5" customFormat="1" x14ac:dyDescent="0.25"/>
    <row r="172" s="5" customFormat="1" x14ac:dyDescent="0.25"/>
    <row r="173" s="5" customFormat="1" x14ac:dyDescent="0.25"/>
    <row r="174" s="5" customFormat="1" x14ac:dyDescent="0.25"/>
    <row r="175" s="5" customFormat="1" x14ac:dyDescent="0.25"/>
    <row r="176" s="5" customFormat="1" x14ac:dyDescent="0.25"/>
    <row r="177" s="5" customFormat="1" x14ac:dyDescent="0.25"/>
    <row r="178" s="5" customFormat="1" x14ac:dyDescent="0.25"/>
    <row r="179" s="5" customFormat="1" x14ac:dyDescent="0.25"/>
    <row r="180" s="5" customFormat="1" x14ac:dyDescent="0.25"/>
    <row r="181" s="5" customFormat="1" x14ac:dyDescent="0.25"/>
    <row r="182" s="5" customFormat="1" x14ac:dyDescent="0.25"/>
    <row r="183" s="5" customFormat="1" x14ac:dyDescent="0.25"/>
    <row r="184" s="5" customFormat="1" x14ac:dyDescent="0.25"/>
    <row r="185" s="5" customFormat="1" x14ac:dyDescent="0.25"/>
    <row r="186" s="5" customFormat="1" x14ac:dyDescent="0.25"/>
    <row r="187" s="5" customFormat="1" x14ac:dyDescent="0.25"/>
    <row r="188" s="5" customFormat="1" x14ac:dyDescent="0.25"/>
    <row r="189" s="5" customFormat="1" x14ac:dyDescent="0.25"/>
    <row r="190" s="5" customFormat="1" x14ac:dyDescent="0.25"/>
    <row r="191" s="5" customFormat="1" x14ac:dyDescent="0.25"/>
    <row r="192" s="5" customFormat="1" x14ac:dyDescent="0.25"/>
    <row r="193" s="5" customFormat="1" x14ac:dyDescent="0.25"/>
    <row r="194" s="5" customFormat="1" x14ac:dyDescent="0.25"/>
    <row r="195" s="5" customFormat="1" x14ac:dyDescent="0.25"/>
    <row r="196" s="5" customFormat="1" x14ac:dyDescent="0.25"/>
    <row r="197" s="5" customFormat="1" x14ac:dyDescent="0.25"/>
    <row r="198" s="5" customFormat="1" x14ac:dyDescent="0.25"/>
    <row r="199" s="5" customFormat="1" x14ac:dyDescent="0.25"/>
    <row r="200" s="5" customFormat="1" x14ac:dyDescent="0.25"/>
    <row r="201" s="5" customFormat="1" x14ac:dyDescent="0.25"/>
    <row r="202" s="5" customFormat="1" x14ac:dyDescent="0.25"/>
    <row r="203" s="5" customFormat="1" x14ac:dyDescent="0.25"/>
    <row r="204" s="5" customFormat="1" x14ac:dyDescent="0.25"/>
    <row r="205" s="5" customFormat="1" x14ac:dyDescent="0.25"/>
    <row r="206" s="5" customFormat="1" x14ac:dyDescent="0.25"/>
    <row r="207" s="5" customFormat="1" x14ac:dyDescent="0.25"/>
    <row r="208" s="5" customFormat="1" x14ac:dyDescent="0.25"/>
    <row r="209" s="5" customFormat="1" x14ac:dyDescent="0.25"/>
    <row r="210" s="5" customFormat="1" x14ac:dyDescent="0.25"/>
    <row r="211" s="5" customFormat="1" x14ac:dyDescent="0.25"/>
    <row r="212" s="5" customFormat="1" x14ac:dyDescent="0.25"/>
    <row r="213" s="5" customFormat="1" x14ac:dyDescent="0.25"/>
    <row r="214" s="5" customFormat="1" x14ac:dyDescent="0.25"/>
    <row r="215" s="5" customFormat="1" x14ac:dyDescent="0.25"/>
    <row r="216" s="5" customFormat="1" x14ac:dyDescent="0.25"/>
    <row r="217" s="5" customFormat="1" x14ac:dyDescent="0.25"/>
    <row r="218" s="5" customFormat="1" x14ac:dyDescent="0.25"/>
    <row r="219" s="5" customFormat="1" x14ac:dyDescent="0.25"/>
    <row r="220" s="5" customFormat="1" x14ac:dyDescent="0.25"/>
    <row r="221" s="5" customFormat="1" x14ac:dyDescent="0.25"/>
    <row r="222" s="5" customFormat="1" x14ac:dyDescent="0.25"/>
    <row r="223" s="5" customFormat="1" x14ac:dyDescent="0.25"/>
    <row r="224" s="5" customFormat="1" x14ac:dyDescent="0.25"/>
    <row r="225" s="5" customFormat="1" x14ac:dyDescent="0.25"/>
    <row r="226" s="5" customFormat="1" x14ac:dyDescent="0.25"/>
    <row r="227" s="5" customFormat="1" x14ac:dyDescent="0.25"/>
    <row r="228" s="5" customFormat="1" x14ac:dyDescent="0.25"/>
    <row r="229" s="5" customFormat="1" x14ac:dyDescent="0.25"/>
    <row r="230" s="5" customFormat="1" x14ac:dyDescent="0.25"/>
    <row r="231" s="5" customFormat="1" x14ac:dyDescent="0.25"/>
    <row r="232" s="5" customFormat="1" x14ac:dyDescent="0.25"/>
    <row r="233" s="5" customFormat="1" x14ac:dyDescent="0.25"/>
    <row r="234" s="5" customFormat="1" x14ac:dyDescent="0.25"/>
    <row r="235" s="5" customFormat="1" x14ac:dyDescent="0.25"/>
    <row r="236" s="5" customFormat="1" x14ac:dyDescent="0.25"/>
    <row r="237" s="5" customFormat="1" x14ac:dyDescent="0.25"/>
    <row r="238" s="5" customFormat="1" x14ac:dyDescent="0.25"/>
    <row r="239" s="5" customFormat="1" x14ac:dyDescent="0.25"/>
    <row r="240" s="5" customFormat="1" x14ac:dyDescent="0.25"/>
    <row r="241" s="5" customFormat="1" x14ac:dyDescent="0.25"/>
    <row r="242" s="5" customFormat="1" x14ac:dyDescent="0.25"/>
    <row r="243" s="5" customFormat="1" x14ac:dyDescent="0.25"/>
    <row r="244" s="5" customFormat="1" x14ac:dyDescent="0.25"/>
    <row r="245" s="5" customFormat="1" x14ac:dyDescent="0.25"/>
    <row r="246" s="5" customFormat="1" x14ac:dyDescent="0.25"/>
  </sheetData>
  <mergeCells count="43">
    <mergeCell ref="AK16:AK17"/>
    <mergeCell ref="AL16:AL17"/>
    <mergeCell ref="AG15:AJ15"/>
    <mergeCell ref="AG16:AG17"/>
    <mergeCell ref="AH16:AH17"/>
    <mergeCell ref="AI16:AI17"/>
    <mergeCell ref="AJ16:AJ17"/>
    <mergeCell ref="AG8:AJ8"/>
    <mergeCell ref="AG9:AG10"/>
    <mergeCell ref="AH9:AH10"/>
    <mergeCell ref="AI9:AI10"/>
    <mergeCell ref="AJ9:AJ10"/>
    <mergeCell ref="AA16:AA17"/>
    <mergeCell ref="AB16:AB17"/>
    <mergeCell ref="AC16:AC17"/>
    <mergeCell ref="AD16:AD17"/>
    <mergeCell ref="AE16:AE17"/>
    <mergeCell ref="U8:AB8"/>
    <mergeCell ref="AA9:AA10"/>
    <mergeCell ref="AB9:AB10"/>
    <mergeCell ref="U15:AE15"/>
    <mergeCell ref="L8:M8"/>
    <mergeCell ref="W9:W10"/>
    <mergeCell ref="X9:X10"/>
    <mergeCell ref="Y9:Y10"/>
    <mergeCell ref="Z9:Z10"/>
    <mergeCell ref="B8:C8"/>
    <mergeCell ref="D8:E8"/>
    <mergeCell ref="F8:G8"/>
    <mergeCell ref="H8:I8"/>
    <mergeCell ref="J8:K8"/>
    <mergeCell ref="Z16:Z17"/>
    <mergeCell ref="X16:X17"/>
    <mergeCell ref="Y16:Y17"/>
    <mergeCell ref="P9:Q9"/>
    <mergeCell ref="R9:S9"/>
    <mergeCell ref="U9:U10"/>
    <mergeCell ref="V9:V10"/>
    <mergeCell ref="P16:Q16"/>
    <mergeCell ref="R16:S16"/>
    <mergeCell ref="U16:U17"/>
    <mergeCell ref="V16:V17"/>
    <mergeCell ref="W16:W17"/>
  </mergeCells>
  <conditionalFormatting sqref="B10:M39">
    <cfRule type="expression" dxfId="20" priority="1">
      <formula>$A10=""</formula>
    </cfRule>
  </conditionalFormatting>
  <pageMargins left="0.7" right="0.7" top="0.75" bottom="0.75" header="0.3" footer="0.3"/>
  <pageSetup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29D9F-FC46-4D85-90F6-7D1B96D1D401}">
  <sheetPr>
    <tabColor theme="9" tint="0.39997558519241921"/>
  </sheetPr>
  <dimension ref="A1:AZ48"/>
  <sheetViews>
    <sheetView topLeftCell="A7" zoomScaleNormal="100" workbookViewId="0">
      <selection activeCell="B35" sqref="B35"/>
    </sheetView>
  </sheetViews>
  <sheetFormatPr defaultColWidth="9.140625" defaultRowHeight="15" x14ac:dyDescent="0.25"/>
  <cols>
    <col min="1" max="1" width="28.85546875" style="5" customWidth="1"/>
    <col min="2" max="2" width="39.5703125" style="5" bestFit="1" customWidth="1"/>
    <col min="3" max="3" width="28" style="5" customWidth="1"/>
    <col min="4" max="4" width="9.140625" style="5"/>
    <col min="5" max="5" width="22.5703125" style="5" customWidth="1"/>
    <col min="6" max="6" width="46.85546875" style="5" customWidth="1"/>
    <col min="7" max="7" width="34.7109375" style="5" bestFit="1" customWidth="1"/>
    <col min="8" max="8" width="15.7109375" style="5" bestFit="1" customWidth="1"/>
    <col min="9" max="9" width="12" style="5" bestFit="1" customWidth="1"/>
    <col min="10" max="10" width="15.5703125" style="5" bestFit="1" customWidth="1"/>
    <col min="11" max="11" width="13.42578125" style="5" bestFit="1" customWidth="1"/>
    <col min="12" max="12" width="15.140625" style="5" bestFit="1" customWidth="1"/>
    <col min="13" max="13" width="20.85546875" style="5" customWidth="1"/>
    <col min="14" max="14" width="15.140625" style="5" bestFit="1" customWidth="1"/>
    <col min="15" max="15" width="11.140625" style="5" bestFit="1" customWidth="1"/>
    <col min="16" max="16" width="12.140625" style="5" bestFit="1" customWidth="1"/>
    <col min="17" max="17" width="11.140625" style="5" bestFit="1" customWidth="1"/>
    <col min="18" max="18" width="12.140625" style="5" bestFit="1" customWidth="1"/>
    <col min="19" max="16384" width="9.140625" style="5"/>
  </cols>
  <sheetData>
    <row r="1" spans="1:52" ht="20.25" thickBot="1" x14ac:dyDescent="0.35">
      <c r="A1" s="93" t="s">
        <v>212</v>
      </c>
    </row>
    <row r="2" spans="1:52" ht="15.75" thickTop="1" x14ac:dyDescent="0.25">
      <c r="A2" s="149" t="s">
        <v>177</v>
      </c>
      <c r="B2" s="148"/>
      <c r="C2" s="148"/>
      <c r="D2" s="148"/>
      <c r="E2" s="148"/>
      <c r="F2" s="148"/>
      <c r="G2" s="148"/>
      <c r="H2" s="148"/>
      <c r="I2" s="148"/>
    </row>
    <row r="3" spans="1:52" x14ac:dyDescent="0.25">
      <c r="A3" s="38" t="s">
        <v>198</v>
      </c>
    </row>
    <row r="4" spans="1:52" x14ac:dyDescent="0.25">
      <c r="A4" s="173">
        <v>0.03</v>
      </c>
      <c r="B4" s="5" t="s">
        <v>347</v>
      </c>
    </row>
    <row r="5" spans="1:52" x14ac:dyDescent="0.25">
      <c r="A5" s="116">
        <v>0</v>
      </c>
      <c r="B5" s="5" t="s">
        <v>348</v>
      </c>
    </row>
    <row r="6" spans="1:52" x14ac:dyDescent="0.25">
      <c r="A6" s="29" t="s">
        <v>198</v>
      </c>
    </row>
    <row r="7" spans="1:52" ht="15.75" thickBot="1" x14ac:dyDescent="0.3">
      <c r="A7" s="94" t="s">
        <v>249</v>
      </c>
    </row>
    <row r="8" spans="1:52" x14ac:dyDescent="0.25">
      <c r="A8" s="112" t="s">
        <v>4</v>
      </c>
      <c r="B8" s="110" t="s">
        <v>155</v>
      </c>
      <c r="C8" s="105" t="s">
        <v>346</v>
      </c>
      <c r="E8" s="214" t="s">
        <v>374</v>
      </c>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2"/>
    </row>
    <row r="9" spans="1:52" ht="15.75" thickBot="1" x14ac:dyDescent="0.3">
      <c r="A9" s="30">
        <f>'Project Information'!B7</f>
        <v>2025</v>
      </c>
      <c r="B9" s="22">
        <f>($O$30)*0.35</f>
        <v>23324477.529457811</v>
      </c>
      <c r="C9" s="8">
        <f>B9/(1+$A$4)^(A9-Overview!$B$22)</f>
        <v>21345201.069853507</v>
      </c>
      <c r="E9" s="176"/>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s="14"/>
    </row>
    <row r="10" spans="1:52" ht="15.75" thickBot="1" x14ac:dyDescent="0.3">
      <c r="A10" s="1">
        <f>IF(A9&lt;$A$9+'Project Information'!$B$8-1,A9+1,"")</f>
        <v>2026</v>
      </c>
      <c r="B10" s="22">
        <f>($O$30)*0.35</f>
        <v>23324477.529457811</v>
      </c>
      <c r="C10" s="8">
        <f>IFERROR(B10/(1+$A$4)^(A10-Overview!$B$22),0)</f>
        <v>20723496.184323791</v>
      </c>
      <c r="E10" s="513" t="s">
        <v>511</v>
      </c>
      <c r="F10" s="514"/>
      <c r="G10" s="380" t="s">
        <v>512</v>
      </c>
      <c r="H10" s="381" t="s">
        <v>355</v>
      </c>
      <c r="I10" s="381" t="s">
        <v>356</v>
      </c>
      <c r="J10" s="382" t="s">
        <v>357</v>
      </c>
      <c r="K10" s="381" t="s">
        <v>358</v>
      </c>
      <c r="L10" s="383" t="s">
        <v>359</v>
      </c>
      <c r="M10" s="381" t="s">
        <v>360</v>
      </c>
      <c r="N10" s="384" t="s">
        <v>522</v>
      </c>
      <c r="O10" s="385" t="s">
        <v>361</v>
      </c>
      <c r="P10"/>
      <c r="Q10"/>
      <c r="R10"/>
      <c r="S10"/>
      <c r="T10"/>
      <c r="U10"/>
      <c r="V10"/>
      <c r="W10"/>
      <c r="X10"/>
      <c r="Y10"/>
      <c r="Z10"/>
      <c r="AA10"/>
      <c r="AB10"/>
      <c r="AC10"/>
      <c r="AD10"/>
      <c r="AE10"/>
      <c r="AF10"/>
      <c r="AG10"/>
      <c r="AH10"/>
      <c r="AI10"/>
      <c r="AJ10"/>
      <c r="AK10"/>
      <c r="AL10"/>
      <c r="AM10"/>
      <c r="AN10"/>
      <c r="AO10"/>
      <c r="AP10"/>
      <c r="AQ10"/>
      <c r="AR10"/>
      <c r="AS10"/>
      <c r="AT10"/>
      <c r="AU10"/>
      <c r="AV10"/>
      <c r="AW10"/>
      <c r="AX10"/>
      <c r="AY10" s="14"/>
    </row>
    <row r="11" spans="1:52" ht="15.75" thickBot="1" x14ac:dyDescent="0.3">
      <c r="A11" s="1">
        <f>IF(A10&lt;$A$9+'Project Information'!$B$8-1,A10+1,"")</f>
        <v>2027</v>
      </c>
      <c r="B11" s="22">
        <f>($O$30)*0.3</f>
        <v>19992409.310963839</v>
      </c>
      <c r="C11" s="8">
        <f>IFERROR(B11/(1+$A$4)^(A11-Overview!$B$22),0)</f>
        <v>17245627.892641161</v>
      </c>
      <c r="E11" s="506" t="s">
        <v>523</v>
      </c>
      <c r="F11" s="507"/>
      <c r="G11" s="386"/>
      <c r="H11" s="357"/>
      <c r="I11" s="357"/>
      <c r="J11" s="387" t="s">
        <v>372</v>
      </c>
      <c r="K11" s="357"/>
      <c r="L11" s="357"/>
      <c r="M11" s="357"/>
      <c r="N11" s="388"/>
      <c r="O11" s="389">
        <v>0</v>
      </c>
      <c r="P11"/>
      <c r="Q11"/>
      <c r="R11"/>
      <c r="S11"/>
      <c r="T11"/>
      <c r="U11"/>
      <c r="V11"/>
      <c r="W11"/>
      <c r="X11"/>
      <c r="Y11"/>
      <c r="Z11"/>
      <c r="AA11"/>
      <c r="AB11"/>
      <c r="AC11"/>
      <c r="AD11"/>
      <c r="AE11"/>
      <c r="AF11"/>
      <c r="AG11"/>
      <c r="AH11"/>
      <c r="AI11"/>
      <c r="AJ11"/>
      <c r="AK11"/>
      <c r="AL11"/>
      <c r="AM11"/>
      <c r="AN11"/>
      <c r="AO11"/>
      <c r="AP11"/>
      <c r="AQ11"/>
      <c r="AR11"/>
      <c r="AS11"/>
      <c r="AT11"/>
      <c r="AU11"/>
      <c r="AV11"/>
      <c r="AW11"/>
      <c r="AX11"/>
      <c r="AY11" s="14"/>
    </row>
    <row r="12" spans="1:52" ht="15.75" thickBot="1" x14ac:dyDescent="0.3">
      <c r="A12" s="1" t="str">
        <f>IF(A11&lt;$A$9+'Project Information'!$B$8-1,A11+1,"")</f>
        <v/>
      </c>
      <c r="B12" s="22">
        <v>0</v>
      </c>
      <c r="C12" s="8">
        <f>IFERROR(B12/(1+$A$4)^(A12-Overview!$B$22),0)</f>
        <v>0</v>
      </c>
      <c r="E12" s="506" t="s">
        <v>524</v>
      </c>
      <c r="F12" s="507"/>
      <c r="G12" s="390"/>
      <c r="H12" s="390"/>
      <c r="I12" s="391"/>
      <c r="J12" s="387" t="s">
        <v>372</v>
      </c>
      <c r="K12" s="390"/>
      <c r="L12" s="390"/>
      <c r="M12" s="390"/>
      <c r="N12" s="392"/>
      <c r="O12" s="393">
        <v>4068395</v>
      </c>
      <c r="P12" s="394"/>
      <c r="Q12" s="197"/>
      <c r="R12"/>
      <c r="S12"/>
      <c r="T12"/>
      <c r="U12"/>
      <c r="V12"/>
      <c r="W12"/>
      <c r="X12"/>
      <c r="Y12"/>
      <c r="Z12"/>
      <c r="AA12"/>
      <c r="AB12"/>
      <c r="AC12"/>
      <c r="AD12"/>
      <c r="AE12"/>
      <c r="AF12"/>
      <c r="AG12"/>
      <c r="AH12"/>
      <c r="AI12"/>
      <c r="AJ12"/>
      <c r="AK12"/>
      <c r="AL12"/>
      <c r="AM12"/>
      <c r="AN12"/>
      <c r="AO12"/>
      <c r="AP12"/>
      <c r="AQ12"/>
      <c r="AR12"/>
      <c r="AS12"/>
      <c r="AT12"/>
      <c r="AU12"/>
      <c r="AV12"/>
      <c r="AW12"/>
      <c r="AX12"/>
      <c r="AY12" s="14"/>
    </row>
    <row r="13" spans="1:52" ht="15.75" thickBot="1" x14ac:dyDescent="0.3">
      <c r="A13" s="1" t="str">
        <f>IF(A12&lt;$A$9+'Project Information'!$B$8-1,A12+1,"")</f>
        <v/>
      </c>
      <c r="B13" s="22">
        <v>0</v>
      </c>
      <c r="C13" s="8">
        <f>IFERROR(B13/(1+$A$4)^(A13-Overview!$B$22),0)</f>
        <v>0</v>
      </c>
      <c r="E13" s="395"/>
      <c r="F13" s="396" t="s">
        <v>525</v>
      </c>
      <c r="G13" s="13"/>
      <c r="H13" s="397"/>
      <c r="I13" s="398"/>
      <c r="J13" s="399" t="s">
        <v>372</v>
      </c>
      <c r="K13" s="397"/>
      <c r="L13" s="61"/>
      <c r="M13" s="397"/>
      <c r="N13"/>
      <c r="O13" s="400">
        <v>4006270</v>
      </c>
      <c r="P13" s="394"/>
      <c r="Q13" s="197"/>
      <c r="R13"/>
      <c r="S13"/>
      <c r="T13"/>
      <c r="U13"/>
      <c r="V13"/>
      <c r="W13"/>
      <c r="X13"/>
      <c r="Y13"/>
      <c r="Z13"/>
      <c r="AA13"/>
      <c r="AB13"/>
      <c r="AC13"/>
      <c r="AD13"/>
      <c r="AE13"/>
      <c r="AF13"/>
      <c r="AG13"/>
      <c r="AH13"/>
      <c r="AI13"/>
      <c r="AJ13"/>
      <c r="AK13"/>
      <c r="AL13"/>
      <c r="AM13"/>
      <c r="AN13"/>
      <c r="AO13"/>
      <c r="AP13"/>
      <c r="AQ13"/>
      <c r="AR13"/>
      <c r="AS13"/>
      <c r="AT13"/>
      <c r="AU13"/>
      <c r="AV13"/>
      <c r="AW13"/>
      <c r="AX13"/>
      <c r="AY13" s="14"/>
    </row>
    <row r="14" spans="1:52" x14ac:dyDescent="0.25">
      <c r="A14" s="1" t="str">
        <f>IF(A13&lt;$A$9+'Project Information'!$B$8-1,A13+1,"")</f>
        <v/>
      </c>
      <c r="B14" s="22">
        <v>0</v>
      </c>
      <c r="C14" s="8">
        <f>IFERROR(B14/(1+$A$4)^(A14-Overview!$B$22),0)</f>
        <v>0</v>
      </c>
      <c r="E14" s="515" t="s">
        <v>513</v>
      </c>
      <c r="F14" s="516"/>
      <c r="G14" s="360" t="s">
        <v>526</v>
      </c>
      <c r="H14" s="180">
        <v>900</v>
      </c>
      <c r="I14" s="180">
        <v>63360</v>
      </c>
      <c r="J14" s="361" t="s">
        <v>362</v>
      </c>
      <c r="K14" s="183">
        <v>3516429.3120000004</v>
      </c>
      <c r="L14" s="183">
        <v>1137215.0859519998</v>
      </c>
      <c r="M14" s="183">
        <v>528158.97950684931</v>
      </c>
      <c r="N14" s="184"/>
      <c r="O14" s="401">
        <f>SUM(K14:N14)</f>
        <v>5181803.377458849</v>
      </c>
      <c r="P14"/>
      <c r="Q14"/>
      <c r="R14"/>
      <c r="S14"/>
      <c r="T14"/>
      <c r="U14"/>
      <c r="V14"/>
      <c r="W14"/>
      <c r="X14"/>
      <c r="Y14"/>
      <c r="Z14"/>
      <c r="AA14"/>
      <c r="AB14"/>
      <c r="AC14"/>
      <c r="AD14"/>
      <c r="AE14"/>
      <c r="AF14"/>
      <c r="AG14"/>
      <c r="AH14"/>
      <c r="AI14"/>
      <c r="AJ14"/>
      <c r="AK14"/>
      <c r="AL14"/>
      <c r="AM14"/>
      <c r="AN14"/>
      <c r="AO14"/>
      <c r="AP14"/>
      <c r="AQ14"/>
      <c r="AR14"/>
      <c r="AS14"/>
      <c r="AT14"/>
      <c r="AU14"/>
      <c r="AV14"/>
      <c r="AW14"/>
      <c r="AX14"/>
      <c r="AY14" s="14"/>
    </row>
    <row r="15" spans="1:52" x14ac:dyDescent="0.25">
      <c r="A15" s="1" t="str">
        <f>IF(A14&lt;$A$9+'Project Information'!$B$8-1,A14+1,"")</f>
        <v/>
      </c>
      <c r="B15" s="22">
        <v>0</v>
      </c>
      <c r="C15" s="8">
        <f>IFERROR(B15/(1+$A$4)^(A15-Overview!$B$22),0)</f>
        <v>0</v>
      </c>
      <c r="E15" s="517"/>
      <c r="F15" s="518"/>
      <c r="G15" s="362" t="s">
        <v>364</v>
      </c>
      <c r="H15" s="179">
        <v>1600</v>
      </c>
      <c r="I15" s="179">
        <v>30000</v>
      </c>
      <c r="J15" s="359" t="s">
        <v>365</v>
      </c>
      <c r="K15" s="185">
        <v>690000</v>
      </c>
      <c r="L15" s="185">
        <v>28312.5</v>
      </c>
      <c r="M15" s="185">
        <v>106387.5</v>
      </c>
      <c r="N15" s="186"/>
      <c r="O15" s="402">
        <f t="shared" ref="O15:O16" si="0">SUM(K15:N15)</f>
        <v>824700</v>
      </c>
      <c r="P15"/>
      <c r="Q15"/>
      <c r="R15"/>
      <c r="S15"/>
      <c r="T15"/>
      <c r="U15"/>
      <c r="V15"/>
      <c r="W15"/>
      <c r="X15"/>
      <c r="Y15"/>
      <c r="Z15"/>
      <c r="AA15"/>
      <c r="AB15"/>
      <c r="AC15"/>
      <c r="AD15"/>
      <c r="AE15"/>
      <c r="AF15"/>
      <c r="AG15"/>
      <c r="AH15"/>
      <c r="AI15"/>
      <c r="AJ15"/>
      <c r="AK15"/>
      <c r="AL15"/>
      <c r="AM15"/>
      <c r="AN15"/>
      <c r="AO15"/>
      <c r="AP15"/>
      <c r="AQ15"/>
      <c r="AR15"/>
      <c r="AS15"/>
      <c r="AT15"/>
      <c r="AU15"/>
      <c r="AV15"/>
      <c r="AW15"/>
      <c r="AX15"/>
      <c r="AY15" s="14"/>
    </row>
    <row r="16" spans="1:52" x14ac:dyDescent="0.25">
      <c r="A16" s="1" t="str">
        <f>IF(A15&lt;$A$9+'Project Information'!$B$8-1,A15+1,"")</f>
        <v/>
      </c>
      <c r="B16" s="22">
        <v>0</v>
      </c>
      <c r="C16" s="8">
        <f>IFERROR(B16/(1+$A$4)^(A16-Overview!$B$22),0)</f>
        <v>0</v>
      </c>
      <c r="E16" s="517"/>
      <c r="F16" s="518"/>
      <c r="G16" s="362" t="s">
        <v>366</v>
      </c>
      <c r="H16" s="179">
        <v>5280</v>
      </c>
      <c r="I16" s="179">
        <v>158400</v>
      </c>
      <c r="J16" s="359" t="s">
        <v>367</v>
      </c>
      <c r="K16" s="185">
        <v>0</v>
      </c>
      <c r="L16" s="185">
        <v>41989.5</v>
      </c>
      <c r="M16" s="185">
        <v>212285.5</v>
      </c>
      <c r="N16" s="186"/>
      <c r="O16" s="402">
        <f t="shared" si="0"/>
        <v>254275</v>
      </c>
      <c r="P16"/>
      <c r="Q16"/>
      <c r="R16"/>
      <c r="S16"/>
      <c r="T16"/>
      <c r="U16"/>
      <c r="V16"/>
      <c r="W16"/>
      <c r="X16"/>
      <c r="Y16"/>
      <c r="Z16"/>
      <c r="AA16"/>
      <c r="AB16"/>
      <c r="AC16"/>
      <c r="AD16"/>
      <c r="AE16"/>
      <c r="AF16"/>
      <c r="AG16"/>
      <c r="AH16"/>
      <c r="AI16"/>
      <c r="AJ16"/>
      <c r="AK16"/>
      <c r="AL16"/>
      <c r="AM16"/>
      <c r="AN16"/>
      <c r="AO16"/>
      <c r="AP16"/>
      <c r="AQ16"/>
      <c r="AR16"/>
      <c r="AS16"/>
      <c r="AT16"/>
      <c r="AU16"/>
      <c r="AV16"/>
      <c r="AW16"/>
      <c r="AX16"/>
      <c r="AY16" s="14"/>
    </row>
    <row r="17" spans="1:51" x14ac:dyDescent="0.25">
      <c r="A17" s="1" t="str">
        <f>IF(A16&lt;$A$9+'Project Information'!$B$8-1,A16+1,"")</f>
        <v/>
      </c>
      <c r="B17" s="22">
        <v>0</v>
      </c>
      <c r="C17" s="8">
        <f>IFERROR(B17/(1+$A$4)^(A17-Overview!$B$22),0)</f>
        <v>0</v>
      </c>
      <c r="E17" s="517"/>
      <c r="F17" s="518"/>
      <c r="G17" s="362" t="s">
        <v>370</v>
      </c>
      <c r="H17" s="403">
        <v>0.25</v>
      </c>
      <c r="I17" s="179">
        <v>3</v>
      </c>
      <c r="J17" s="359" t="s">
        <v>369</v>
      </c>
      <c r="K17" s="185"/>
      <c r="L17" s="185"/>
      <c r="M17" s="185"/>
      <c r="N17" s="186"/>
      <c r="O17" s="402">
        <v>337500</v>
      </c>
      <c r="P17"/>
      <c r="Q17"/>
      <c r="R17"/>
      <c r="S17"/>
      <c r="T17"/>
      <c r="U17"/>
      <c r="V17"/>
      <c r="W17"/>
      <c r="X17"/>
      <c r="Y17"/>
      <c r="Z17"/>
      <c r="AA17"/>
      <c r="AB17"/>
      <c r="AC17"/>
      <c r="AD17"/>
      <c r="AE17"/>
      <c r="AF17"/>
      <c r="AG17"/>
      <c r="AH17"/>
      <c r="AI17"/>
      <c r="AJ17"/>
      <c r="AK17"/>
      <c r="AL17"/>
      <c r="AM17"/>
      <c r="AN17"/>
      <c r="AO17"/>
      <c r="AP17"/>
      <c r="AQ17"/>
      <c r="AR17"/>
      <c r="AS17"/>
      <c r="AT17"/>
      <c r="AU17"/>
      <c r="AV17"/>
      <c r="AW17"/>
      <c r="AX17"/>
      <c r="AY17" s="14"/>
    </row>
    <row r="18" spans="1:51" x14ac:dyDescent="0.25">
      <c r="A18" s="1" t="str">
        <f>IF(A17&lt;$A$9+'Project Information'!$B$8-1,A17+1,"")</f>
        <v/>
      </c>
      <c r="B18" s="22">
        <v>0</v>
      </c>
      <c r="C18" s="8">
        <f>IFERROR(B18/(1+$A$4)^(A18-Overview!$B$22),0)</f>
        <v>0</v>
      </c>
      <c r="E18" s="517"/>
      <c r="F18" s="518"/>
      <c r="G18" s="362" t="s">
        <v>371</v>
      </c>
      <c r="H18" s="179"/>
      <c r="I18" s="179"/>
      <c r="J18" s="359" t="s">
        <v>372</v>
      </c>
      <c r="K18" s="185"/>
      <c r="L18" s="185"/>
      <c r="M18" s="185"/>
      <c r="N18" s="186"/>
      <c r="O18" s="402">
        <v>800000</v>
      </c>
      <c r="P18"/>
      <c r="Q18"/>
      <c r="R18"/>
      <c r="S18"/>
      <c r="T18"/>
      <c r="U18"/>
      <c r="V18"/>
      <c r="W18"/>
      <c r="X18"/>
      <c r="Y18"/>
      <c r="Z18"/>
      <c r="AA18"/>
      <c r="AB18"/>
      <c r="AC18"/>
      <c r="AD18"/>
      <c r="AE18"/>
      <c r="AF18"/>
      <c r="AG18"/>
      <c r="AH18"/>
      <c r="AI18"/>
      <c r="AJ18"/>
      <c r="AK18"/>
      <c r="AL18"/>
      <c r="AM18"/>
      <c r="AN18"/>
      <c r="AO18"/>
      <c r="AP18"/>
      <c r="AQ18"/>
      <c r="AR18"/>
      <c r="AS18"/>
      <c r="AT18"/>
      <c r="AU18"/>
      <c r="AV18"/>
      <c r="AW18"/>
      <c r="AX18"/>
      <c r="AY18" s="14"/>
    </row>
    <row r="19" spans="1:51" ht="15.75" thickBot="1" x14ac:dyDescent="0.3">
      <c r="A19" s="1" t="str">
        <f>IF(A18&lt;$A$9+'Project Information'!$B$8-1,A18+1,"")</f>
        <v/>
      </c>
      <c r="B19" s="22">
        <v>0</v>
      </c>
      <c r="C19" s="8">
        <f>IFERROR(B19/(1+$A$4)^(A19-Overview!$B$22),0)</f>
        <v>0</v>
      </c>
      <c r="E19" s="519"/>
      <c r="F19" s="520"/>
      <c r="G19" s="404" t="s">
        <v>368</v>
      </c>
      <c r="H19" s="405">
        <v>500</v>
      </c>
      <c r="I19" s="405">
        <v>15000</v>
      </c>
      <c r="J19" s="406" t="s">
        <v>369</v>
      </c>
      <c r="K19" s="407">
        <v>1291460</v>
      </c>
      <c r="L19" s="407">
        <v>484608.7013999999</v>
      </c>
      <c r="M19" s="407">
        <v>273983.32876712328</v>
      </c>
      <c r="N19" s="408"/>
      <c r="O19" s="409">
        <f>SUM(K19:N19)</f>
        <v>2050052.0301671233</v>
      </c>
      <c r="P19"/>
      <c r="Q19"/>
      <c r="R19"/>
      <c r="S19"/>
      <c r="T19"/>
      <c r="U19"/>
      <c r="V19"/>
      <c r="W19"/>
      <c r="X19"/>
      <c r="Y19"/>
      <c r="Z19"/>
      <c r="AA19"/>
      <c r="AB19"/>
      <c r="AC19"/>
      <c r="AD19"/>
      <c r="AE19"/>
      <c r="AF19"/>
      <c r="AG19"/>
      <c r="AH19"/>
      <c r="AI19"/>
      <c r="AJ19"/>
      <c r="AK19"/>
      <c r="AL19"/>
      <c r="AM19"/>
      <c r="AN19"/>
      <c r="AO19"/>
      <c r="AP19"/>
      <c r="AQ19"/>
      <c r="AR19"/>
      <c r="AS19"/>
      <c r="AT19"/>
      <c r="AU19"/>
      <c r="AV19"/>
      <c r="AW19"/>
      <c r="AX19"/>
      <c r="AY19" s="14"/>
    </row>
    <row r="20" spans="1:51" x14ac:dyDescent="0.25">
      <c r="A20" s="1" t="str">
        <f>IF(A19&lt;$A$9+'Project Information'!$B$8-1,A19+1,"")</f>
        <v/>
      </c>
      <c r="B20" s="22">
        <v>0</v>
      </c>
      <c r="C20" s="8">
        <f>IFERROR(B20/(1+$A$4)^(A20-Overview!$B$22),0)</f>
        <v>0</v>
      </c>
      <c r="E20" s="515" t="s">
        <v>514</v>
      </c>
      <c r="F20" s="516"/>
      <c r="G20" s="360" t="s">
        <v>526</v>
      </c>
      <c r="H20" s="180">
        <v>2500</v>
      </c>
      <c r="I20" s="180">
        <v>422400</v>
      </c>
      <c r="J20" s="361" t="s">
        <v>362</v>
      </c>
      <c r="K20" s="183">
        <v>24475870.079999998</v>
      </c>
      <c r="L20" s="183">
        <v>4489444.0605695993</v>
      </c>
      <c r="M20" s="183">
        <v>1148334.5499178083</v>
      </c>
      <c r="N20" s="184">
        <v>2112000</v>
      </c>
      <c r="O20" s="401">
        <f t="shared" ref="O20:O23" si="1">SUM(K20:N20)</f>
        <v>32225648.690487407</v>
      </c>
      <c r="P20"/>
      <c r="Q20" s="197"/>
      <c r="R20"/>
      <c r="S20"/>
      <c r="T20"/>
      <c r="U20"/>
      <c r="V20"/>
      <c r="W20"/>
      <c r="X20"/>
      <c r="Y20"/>
      <c r="Z20"/>
      <c r="AA20"/>
      <c r="AB20"/>
      <c r="AC20"/>
      <c r="AD20"/>
      <c r="AE20"/>
      <c r="AF20"/>
      <c r="AG20"/>
      <c r="AH20"/>
      <c r="AI20"/>
      <c r="AJ20"/>
      <c r="AK20"/>
      <c r="AL20"/>
      <c r="AM20"/>
      <c r="AN20"/>
      <c r="AO20"/>
      <c r="AP20"/>
      <c r="AQ20"/>
      <c r="AR20"/>
      <c r="AS20"/>
      <c r="AT20"/>
      <c r="AU20"/>
      <c r="AV20"/>
      <c r="AW20"/>
      <c r="AX20"/>
      <c r="AY20" s="14"/>
    </row>
    <row r="21" spans="1:51" ht="15" customHeight="1" x14ac:dyDescent="0.25">
      <c r="A21" s="1" t="str">
        <f>IF(A20&lt;$A$9+'Project Information'!$B$8-1,A20+1,"")</f>
        <v/>
      </c>
      <c r="B21" s="22">
        <v>0</v>
      </c>
      <c r="C21" s="8">
        <f>IFERROR(B21/(1+$A$4)^(A21-Overview!$B$22),0)</f>
        <v>0</v>
      </c>
      <c r="E21" s="517"/>
      <c r="F21" s="518"/>
      <c r="G21" s="362" t="s">
        <v>363</v>
      </c>
      <c r="H21" s="179">
        <v>1000</v>
      </c>
      <c r="I21" s="182">
        <v>84480</v>
      </c>
      <c r="J21" s="359" t="s">
        <v>362</v>
      </c>
      <c r="K21" s="188">
        <v>471584.81599999999</v>
      </c>
      <c r="L21" s="188">
        <v>840000</v>
      </c>
      <c r="M21" s="188">
        <v>292600</v>
      </c>
      <c r="N21" s="189"/>
      <c r="O21" s="402">
        <f t="shared" si="1"/>
        <v>1604184.8160000001</v>
      </c>
      <c r="P21"/>
      <c r="Q21" s="197"/>
      <c r="R21"/>
      <c r="S21"/>
      <c r="T21"/>
      <c r="U21"/>
      <c r="V21"/>
      <c r="W21"/>
      <c r="X21"/>
      <c r="Y21"/>
      <c r="Z21"/>
      <c r="AA21"/>
      <c r="AB21"/>
      <c r="AC21"/>
      <c r="AD21"/>
      <c r="AE21"/>
      <c r="AF21"/>
      <c r="AG21"/>
      <c r="AH21"/>
      <c r="AI21"/>
      <c r="AJ21"/>
      <c r="AK21"/>
      <c r="AL21"/>
      <c r="AM21"/>
      <c r="AN21"/>
      <c r="AO21"/>
      <c r="AP21"/>
      <c r="AQ21"/>
      <c r="AR21"/>
      <c r="AS21"/>
      <c r="AT21"/>
      <c r="AU21"/>
      <c r="AV21"/>
      <c r="AW21"/>
      <c r="AX21"/>
      <c r="AY21" s="14"/>
    </row>
    <row r="22" spans="1:51" x14ac:dyDescent="0.25">
      <c r="A22" s="1" t="str">
        <f>IF(A21&lt;$A$9+'Project Information'!$B$8-1,A21+1,"")</f>
        <v/>
      </c>
      <c r="B22" s="22">
        <v>0</v>
      </c>
      <c r="C22" s="8">
        <f>IFERROR(B22/(1+$A$4)^(A22-Overview!$B$22),0)</f>
        <v>0</v>
      </c>
      <c r="E22" s="517"/>
      <c r="F22" s="518"/>
      <c r="G22" s="362" t="s">
        <v>364</v>
      </c>
      <c r="H22" s="179">
        <v>1800</v>
      </c>
      <c r="I22" s="179">
        <v>60000</v>
      </c>
      <c r="J22" s="359" t="s">
        <v>365</v>
      </c>
      <c r="K22" s="185">
        <v>1500000</v>
      </c>
      <c r="L22" s="185">
        <v>50413.333333333343</v>
      </c>
      <c r="M22" s="185">
        <v>189133.33333333334</v>
      </c>
      <c r="N22" s="186"/>
      <c r="O22" s="402">
        <f t="shared" si="1"/>
        <v>1739546.6666666665</v>
      </c>
      <c r="P22"/>
      <c r="Q22" s="197"/>
      <c r="R22"/>
      <c r="S22"/>
      <c r="T22"/>
      <c r="U22"/>
      <c r="V22"/>
      <c r="W22"/>
      <c r="X22"/>
      <c r="Y22"/>
      <c r="Z22"/>
      <c r="AA22"/>
      <c r="AB22"/>
      <c r="AC22"/>
      <c r="AD22"/>
      <c r="AE22"/>
      <c r="AF22"/>
      <c r="AG22"/>
      <c r="AH22"/>
      <c r="AI22"/>
      <c r="AJ22"/>
      <c r="AK22"/>
      <c r="AL22"/>
      <c r="AM22"/>
      <c r="AN22"/>
      <c r="AO22"/>
      <c r="AP22"/>
      <c r="AQ22"/>
      <c r="AR22"/>
      <c r="AS22"/>
      <c r="AT22"/>
      <c r="AU22"/>
      <c r="AV22"/>
      <c r="AW22"/>
      <c r="AX22"/>
      <c r="AY22" s="14"/>
    </row>
    <row r="23" spans="1:51" x14ac:dyDescent="0.25">
      <c r="A23" s="1" t="str">
        <f>IF(A22&lt;$A$9+'Project Information'!$B$8-1,A22+1,"")</f>
        <v/>
      </c>
      <c r="B23" s="22">
        <v>0</v>
      </c>
      <c r="C23" s="8">
        <f>IFERROR(B23/(1+$A$4)^(A23-Overview!$B$22),0)</f>
        <v>0</v>
      </c>
      <c r="E23" s="517"/>
      <c r="F23" s="518"/>
      <c r="G23" s="362" t="s">
        <v>366</v>
      </c>
      <c r="H23" s="179">
        <v>5280</v>
      </c>
      <c r="I23" s="179">
        <v>549120</v>
      </c>
      <c r="J23" s="359" t="s">
        <v>367</v>
      </c>
      <c r="K23" s="185">
        <v>0</v>
      </c>
      <c r="L23" s="185">
        <v>119970</v>
      </c>
      <c r="M23" s="185">
        <v>606530</v>
      </c>
      <c r="N23" s="186"/>
      <c r="O23" s="402">
        <f t="shared" si="1"/>
        <v>726500</v>
      </c>
      <c r="P23"/>
      <c r="Q23" s="197"/>
      <c r="R23"/>
      <c r="S23"/>
      <c r="T23"/>
      <c r="U23"/>
      <c r="V23"/>
      <c r="W23"/>
      <c r="X23"/>
      <c r="Y23"/>
      <c r="Z23"/>
      <c r="AA23"/>
      <c r="AB23"/>
      <c r="AC23"/>
      <c r="AD23"/>
      <c r="AE23"/>
      <c r="AF23"/>
      <c r="AG23"/>
      <c r="AH23"/>
      <c r="AI23"/>
      <c r="AJ23"/>
      <c r="AK23"/>
      <c r="AL23"/>
      <c r="AM23"/>
      <c r="AN23"/>
      <c r="AO23"/>
      <c r="AP23"/>
      <c r="AQ23"/>
      <c r="AR23"/>
      <c r="AS23"/>
      <c r="AT23"/>
      <c r="AU23"/>
      <c r="AV23"/>
      <c r="AW23"/>
      <c r="AX23"/>
      <c r="AY23" s="14"/>
    </row>
    <row r="24" spans="1:51" x14ac:dyDescent="0.25">
      <c r="A24" s="31"/>
      <c r="B24" s="286">
        <f>SUM(B9:B23)</f>
        <v>66641364.369879462</v>
      </c>
      <c r="C24" s="286">
        <f>SUM(C9:C23)</f>
        <v>59314325.146818459</v>
      </c>
      <c r="E24" s="517"/>
      <c r="F24" s="518"/>
      <c r="G24" s="362" t="s">
        <v>370</v>
      </c>
      <c r="H24" s="179">
        <v>0.25</v>
      </c>
      <c r="I24" s="179">
        <v>3</v>
      </c>
      <c r="J24" s="359" t="s">
        <v>369</v>
      </c>
      <c r="K24" s="185"/>
      <c r="L24" s="185"/>
      <c r="M24" s="185"/>
      <c r="N24" s="186"/>
      <c r="O24" s="402">
        <v>337500</v>
      </c>
      <c r="P24"/>
      <c r="Q24" s="197"/>
      <c r="R24"/>
      <c r="S24"/>
      <c r="T24"/>
      <c r="U24"/>
      <c r="V24"/>
      <c r="W24"/>
      <c r="X24"/>
      <c r="Y24"/>
      <c r="Z24"/>
      <c r="AA24"/>
      <c r="AB24"/>
      <c r="AC24"/>
      <c r="AD24"/>
      <c r="AE24"/>
      <c r="AF24"/>
      <c r="AG24"/>
      <c r="AH24"/>
      <c r="AI24"/>
      <c r="AJ24"/>
      <c r="AK24"/>
      <c r="AL24"/>
      <c r="AM24"/>
      <c r="AN24"/>
      <c r="AO24"/>
      <c r="AP24"/>
      <c r="AQ24"/>
      <c r="AR24"/>
      <c r="AS24"/>
      <c r="AT24"/>
      <c r="AU24"/>
      <c r="AV24"/>
      <c r="AW24"/>
      <c r="AX24"/>
      <c r="AY24" s="14"/>
    </row>
    <row r="25" spans="1:51" x14ac:dyDescent="0.25">
      <c r="B25" s="28"/>
      <c r="C25" s="29"/>
      <c r="E25" s="517"/>
      <c r="F25" s="518"/>
      <c r="G25" s="362" t="s">
        <v>371</v>
      </c>
      <c r="H25" s="179"/>
      <c r="I25" s="179"/>
      <c r="J25" s="359" t="s">
        <v>372</v>
      </c>
      <c r="K25" s="185"/>
      <c r="L25" s="185"/>
      <c r="M25" s="185"/>
      <c r="N25" s="186"/>
      <c r="O25" s="402">
        <v>800000</v>
      </c>
      <c r="P25"/>
      <c r="Q25" s="197"/>
      <c r="R25"/>
      <c r="S25"/>
      <c r="T25"/>
      <c r="U25"/>
      <c r="V25"/>
      <c r="W25"/>
      <c r="X25"/>
      <c r="Y25"/>
      <c r="Z25"/>
      <c r="AA25"/>
      <c r="AB25"/>
      <c r="AC25"/>
      <c r="AD25"/>
      <c r="AE25"/>
      <c r="AF25"/>
      <c r="AG25"/>
      <c r="AH25"/>
      <c r="AI25"/>
      <c r="AJ25"/>
      <c r="AK25"/>
      <c r="AL25"/>
      <c r="AM25"/>
      <c r="AN25"/>
      <c r="AO25"/>
      <c r="AP25"/>
      <c r="AQ25"/>
      <c r="AR25"/>
      <c r="AS25"/>
      <c r="AT25"/>
      <c r="AU25"/>
      <c r="AV25"/>
      <c r="AW25"/>
      <c r="AX25"/>
      <c r="AY25" s="14"/>
    </row>
    <row r="26" spans="1:51" ht="15.75" thickBot="1" x14ac:dyDescent="0.3">
      <c r="B26" s="28"/>
      <c r="C26" s="29"/>
      <c r="E26" s="519"/>
      <c r="F26" s="520"/>
      <c r="G26" s="363" t="s">
        <v>368</v>
      </c>
      <c r="H26" s="181">
        <v>600</v>
      </c>
      <c r="I26" s="181">
        <v>62400</v>
      </c>
      <c r="J26" s="364" t="s">
        <v>369</v>
      </c>
      <c r="K26" s="187">
        <v>5684473.5999999996</v>
      </c>
      <c r="L26" s="187">
        <v>1934372.2041279993</v>
      </c>
      <c r="M26" s="187">
        <v>892744.68164383562</v>
      </c>
      <c r="N26" s="365"/>
      <c r="O26" s="410">
        <f>SUM(K26:N26)</f>
        <v>8511590.4857718349</v>
      </c>
      <c r="P26"/>
      <c r="Q26" s="197"/>
      <c r="R26"/>
      <c r="S26"/>
      <c r="T26"/>
      <c r="U26"/>
      <c r="V26"/>
      <c r="W26"/>
      <c r="X26"/>
      <c r="Y26"/>
      <c r="Z26"/>
      <c r="AA26"/>
      <c r="AB26"/>
      <c r="AC26"/>
      <c r="AD26"/>
      <c r="AE26"/>
      <c r="AF26"/>
      <c r="AG26"/>
      <c r="AH26"/>
      <c r="AI26"/>
      <c r="AJ26"/>
      <c r="AK26"/>
      <c r="AL26"/>
      <c r="AM26"/>
      <c r="AN26"/>
      <c r="AO26"/>
      <c r="AP26"/>
      <c r="AQ26"/>
      <c r="AR26"/>
      <c r="AS26"/>
      <c r="AT26"/>
      <c r="AU26"/>
      <c r="AV26"/>
      <c r="AW26"/>
      <c r="AX26"/>
      <c r="AY26" s="14"/>
    </row>
    <row r="27" spans="1:51" ht="15.75" thickBot="1" x14ac:dyDescent="0.3">
      <c r="B27" s="28"/>
      <c r="C27" s="29"/>
      <c r="E27" s="13"/>
      <c r="F27"/>
      <c r="G27" s="411"/>
      <c r="H27" s="412"/>
      <c r="I27" s="412"/>
      <c r="J27" s="412"/>
      <c r="K27" s="412"/>
      <c r="L27" s="521"/>
      <c r="M27" s="521"/>
      <c r="N27" s="521"/>
      <c r="O27" s="522"/>
      <c r="P27"/>
      <c r="Q27"/>
      <c r="R27"/>
      <c r="S27"/>
      <c r="T27"/>
      <c r="U27"/>
      <c r="V27"/>
      <c r="W27"/>
      <c r="X27"/>
      <c r="Y27"/>
      <c r="Z27"/>
      <c r="AA27"/>
      <c r="AB27"/>
      <c r="AC27"/>
      <c r="AD27"/>
      <c r="AE27"/>
      <c r="AF27"/>
      <c r="AG27"/>
      <c r="AH27"/>
      <c r="AI27"/>
      <c r="AJ27"/>
      <c r="AK27"/>
      <c r="AL27"/>
      <c r="AM27"/>
      <c r="AN27"/>
      <c r="AO27"/>
      <c r="AP27"/>
      <c r="AQ27"/>
      <c r="AR27"/>
      <c r="AS27"/>
      <c r="AT27"/>
      <c r="AU27"/>
      <c r="AV27"/>
      <c r="AW27"/>
      <c r="AX27"/>
      <c r="AY27" s="14"/>
    </row>
    <row r="28" spans="1:51" x14ac:dyDescent="0.25">
      <c r="B28" s="28"/>
      <c r="C28" s="29"/>
      <c r="E28" s="13"/>
      <c r="F28"/>
      <c r="G28" s="511" t="s">
        <v>515</v>
      </c>
      <c r="H28" s="512"/>
      <c r="I28" s="512"/>
      <c r="J28" s="512"/>
      <c r="K28" s="512"/>
      <c r="L28" s="512"/>
      <c r="M28" s="512"/>
      <c r="N28" s="379"/>
      <c r="O28" s="401">
        <f>SUM(O11:O26)</f>
        <v>63467966.066551879</v>
      </c>
      <c r="P28"/>
      <c r="Q28"/>
      <c r="R28"/>
      <c r="S28"/>
      <c r="T28"/>
      <c r="U28"/>
      <c r="V28"/>
      <c r="W28"/>
      <c r="X28"/>
      <c r="Y28"/>
      <c r="Z28"/>
      <c r="AA28"/>
      <c r="AB28"/>
      <c r="AC28"/>
      <c r="AD28"/>
      <c r="AE28"/>
      <c r="AF28"/>
      <c r="AG28"/>
      <c r="AH28"/>
      <c r="AI28"/>
      <c r="AJ28"/>
      <c r="AK28"/>
      <c r="AL28"/>
      <c r="AM28"/>
      <c r="AN28"/>
      <c r="AO28"/>
      <c r="AP28"/>
      <c r="AQ28"/>
      <c r="AR28"/>
      <c r="AS28"/>
      <c r="AT28"/>
      <c r="AU28"/>
      <c r="AV28"/>
      <c r="AW28"/>
      <c r="AX28"/>
      <c r="AY28" s="14"/>
    </row>
    <row r="29" spans="1:51" ht="15.75" thickBot="1" x14ac:dyDescent="0.3">
      <c r="B29" s="28"/>
      <c r="C29" s="29"/>
      <c r="E29" s="13"/>
      <c r="F29"/>
      <c r="G29" s="503" t="s">
        <v>516</v>
      </c>
      <c r="H29" s="504"/>
      <c r="I29" s="504"/>
      <c r="J29" s="504"/>
      <c r="K29" s="504"/>
      <c r="L29" s="504"/>
      <c r="M29" s="505"/>
      <c r="N29" s="302"/>
      <c r="O29" s="413">
        <f>0.05*O28</f>
        <v>3173398.303327594</v>
      </c>
      <c r="P29"/>
      <c r="Q29"/>
      <c r="R29"/>
      <c r="S29"/>
      <c r="T29"/>
      <c r="U29"/>
      <c r="V29"/>
      <c r="W29"/>
      <c r="X29"/>
      <c r="Y29"/>
      <c r="Z29"/>
      <c r="AA29"/>
      <c r="AB29"/>
      <c r="AC29"/>
      <c r="AD29"/>
      <c r="AE29"/>
      <c r="AF29"/>
      <c r="AG29"/>
      <c r="AH29"/>
      <c r="AI29"/>
      <c r="AJ29"/>
      <c r="AK29"/>
      <c r="AL29"/>
      <c r="AM29"/>
      <c r="AN29"/>
      <c r="AO29"/>
      <c r="AP29"/>
      <c r="AQ29"/>
      <c r="AR29"/>
      <c r="AS29"/>
      <c r="AT29"/>
      <c r="AU29"/>
      <c r="AV29"/>
      <c r="AW29"/>
      <c r="AX29"/>
      <c r="AY29" s="14"/>
    </row>
    <row r="30" spans="1:51" ht="15.75" thickBot="1" x14ac:dyDescent="0.3">
      <c r="B30" s="28"/>
      <c r="C30" s="29"/>
      <c r="E30" s="13"/>
      <c r="F30"/>
      <c r="G30" s="506" t="s">
        <v>373</v>
      </c>
      <c r="H30" s="507"/>
      <c r="I30" s="507"/>
      <c r="J30" s="507"/>
      <c r="K30" s="507"/>
      <c r="L30" s="507"/>
      <c r="M30" s="508"/>
      <c r="N30" s="378"/>
      <c r="O30" s="393">
        <f>SUM(O28:O29)</f>
        <v>66641364.369879469</v>
      </c>
      <c r="P30"/>
      <c r="Q30"/>
      <c r="R30"/>
      <c r="S30"/>
      <c r="T30"/>
      <c r="U30"/>
      <c r="V30"/>
      <c r="W30"/>
      <c r="X30"/>
      <c r="Y30"/>
      <c r="Z30"/>
      <c r="AA30"/>
      <c r="AB30"/>
      <c r="AC30"/>
      <c r="AD30"/>
      <c r="AE30"/>
      <c r="AF30"/>
      <c r="AG30"/>
      <c r="AH30"/>
      <c r="AI30"/>
      <c r="AJ30"/>
      <c r="AK30"/>
      <c r="AL30"/>
      <c r="AM30"/>
      <c r="AN30"/>
      <c r="AO30"/>
      <c r="AP30"/>
      <c r="AQ30"/>
      <c r="AR30"/>
      <c r="AS30"/>
      <c r="AT30"/>
      <c r="AU30"/>
      <c r="AV30"/>
      <c r="AW30"/>
      <c r="AX30"/>
      <c r="AY30" s="14"/>
    </row>
    <row r="31" spans="1:51" ht="15.75" thickBot="1" x14ac:dyDescent="0.3">
      <c r="B31" s="28"/>
      <c r="C31" s="29"/>
      <c r="E31" s="13"/>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s="14"/>
    </row>
    <row r="32" spans="1:51" ht="15.75" thickBot="1" x14ac:dyDescent="0.3">
      <c r="B32" s="28"/>
      <c r="C32" s="29"/>
      <c r="E32" s="13"/>
      <c r="F32"/>
      <c r="G32" s="414" t="s">
        <v>527</v>
      </c>
      <c r="H32" s="415"/>
      <c r="I32" s="415"/>
      <c r="J32" s="415"/>
      <c r="K32" s="415"/>
      <c r="L32" s="416" t="s">
        <v>361</v>
      </c>
      <c r="M32" s="417" t="s">
        <v>528</v>
      </c>
      <c r="N32" s="358" t="s">
        <v>529</v>
      </c>
      <c r="O32" s="358" t="s">
        <v>530</v>
      </c>
      <c r="P32" s="416" t="s">
        <v>19</v>
      </c>
      <c r="Q32" s="418" t="s">
        <v>531</v>
      </c>
      <c r="S32"/>
      <c r="T32"/>
      <c r="U32"/>
      <c r="V32"/>
      <c r="W32"/>
      <c r="X32"/>
      <c r="Y32"/>
      <c r="Z32"/>
      <c r="AA32"/>
      <c r="AB32"/>
      <c r="AC32"/>
      <c r="AD32"/>
      <c r="AE32"/>
      <c r="AF32"/>
      <c r="AG32"/>
      <c r="AH32"/>
      <c r="AI32"/>
      <c r="AJ32"/>
      <c r="AK32"/>
      <c r="AL32"/>
      <c r="AM32"/>
      <c r="AN32"/>
      <c r="AO32"/>
      <c r="AP32"/>
      <c r="AQ32"/>
      <c r="AR32"/>
      <c r="AS32"/>
      <c r="AT32"/>
      <c r="AU32"/>
      <c r="AV32"/>
      <c r="AW32"/>
      <c r="AX32"/>
      <c r="AY32" s="14"/>
    </row>
    <row r="33" spans="2:52" x14ac:dyDescent="0.25">
      <c r="B33" s="28"/>
      <c r="C33" s="29"/>
      <c r="E33" s="13"/>
      <c r="F33"/>
      <c r="G33" s="509" t="s">
        <v>532</v>
      </c>
      <c r="H33" s="510"/>
      <c r="I33" s="510"/>
      <c r="J33" s="510"/>
      <c r="K33" s="510"/>
      <c r="L33" s="419">
        <f>O11</f>
        <v>0</v>
      </c>
      <c r="M33" s="420"/>
      <c r="N33" s="366"/>
      <c r="O33" s="366"/>
      <c r="P33" s="421"/>
      <c r="Q33" s="422"/>
      <c r="S33"/>
      <c r="T33"/>
      <c r="U33"/>
      <c r="V33"/>
      <c r="W33"/>
      <c r="X33"/>
      <c r="Y33"/>
      <c r="Z33"/>
      <c r="AA33"/>
      <c r="AB33"/>
      <c r="AC33"/>
      <c r="AD33"/>
      <c r="AE33"/>
      <c r="AF33"/>
      <c r="AG33"/>
      <c r="AH33"/>
      <c r="AI33"/>
      <c r="AJ33"/>
      <c r="AK33"/>
      <c r="AL33"/>
      <c r="AM33"/>
      <c r="AN33"/>
      <c r="AO33"/>
      <c r="AP33"/>
      <c r="AQ33"/>
      <c r="AR33"/>
      <c r="AS33"/>
      <c r="AT33"/>
      <c r="AU33"/>
      <c r="AV33"/>
      <c r="AW33"/>
      <c r="AX33"/>
      <c r="AY33" s="14"/>
    </row>
    <row r="34" spans="2:52" x14ac:dyDescent="0.25">
      <c r="B34" s="28"/>
      <c r="C34" s="29"/>
      <c r="E34" s="13"/>
      <c r="F34"/>
      <c r="G34" s="499" t="s">
        <v>533</v>
      </c>
      <c r="H34" s="500"/>
      <c r="I34" s="500"/>
      <c r="J34" s="500"/>
      <c r="K34" s="500"/>
      <c r="L34" s="423">
        <f>O12</f>
        <v>4068395</v>
      </c>
      <c r="M34" s="424">
        <f t="shared" ref="M34:M37" si="2">0.8*L34</f>
        <v>3254716</v>
      </c>
      <c r="N34" s="425"/>
      <c r="O34" s="185">
        <f>0.2*L34</f>
        <v>813679</v>
      </c>
      <c r="P34" s="426">
        <f t="shared" ref="P34:P39" si="3">SUM(M34:O34)</f>
        <v>4068395</v>
      </c>
      <c r="Q34" s="427">
        <f t="shared" ref="Q34:Q39" si="4">SUM(N34:O34)</f>
        <v>813679</v>
      </c>
      <c r="S34"/>
      <c r="T34"/>
      <c r="U34"/>
      <c r="V34"/>
      <c r="W34"/>
      <c r="X34"/>
      <c r="Y34"/>
      <c r="Z34"/>
      <c r="AA34"/>
      <c r="AB34"/>
      <c r="AC34"/>
      <c r="AD34"/>
      <c r="AE34"/>
      <c r="AF34"/>
      <c r="AG34"/>
      <c r="AH34"/>
      <c r="AI34"/>
      <c r="AJ34"/>
      <c r="AK34"/>
      <c r="AL34"/>
      <c r="AM34"/>
      <c r="AN34"/>
      <c r="AO34"/>
      <c r="AP34"/>
      <c r="AQ34"/>
      <c r="AR34"/>
      <c r="AS34"/>
      <c r="AT34"/>
      <c r="AU34"/>
      <c r="AV34"/>
      <c r="AW34"/>
      <c r="AX34"/>
      <c r="AY34" s="14"/>
    </row>
    <row r="35" spans="2:52" x14ac:dyDescent="0.25">
      <c r="B35" s="28"/>
      <c r="C35" s="29"/>
      <c r="E35" s="13"/>
      <c r="F35"/>
      <c r="G35" s="499" t="s">
        <v>534</v>
      </c>
      <c r="H35" s="500"/>
      <c r="I35" s="500"/>
      <c r="J35" s="500"/>
      <c r="K35" s="500"/>
      <c r="L35" s="423">
        <f>O13</f>
        <v>4006270</v>
      </c>
      <c r="M35" s="424">
        <f t="shared" si="2"/>
        <v>3205016</v>
      </c>
      <c r="N35" s="178"/>
      <c r="O35" s="185">
        <f>0.2*L35</f>
        <v>801254</v>
      </c>
      <c r="P35" s="426">
        <f t="shared" si="3"/>
        <v>4006270</v>
      </c>
      <c r="Q35" s="427">
        <f t="shared" si="4"/>
        <v>801254</v>
      </c>
      <c r="S35"/>
      <c r="T35"/>
      <c r="U35"/>
      <c r="V35"/>
      <c r="W35"/>
      <c r="X35"/>
      <c r="Y35"/>
      <c r="Z35"/>
      <c r="AA35"/>
      <c r="AB35"/>
      <c r="AC35"/>
      <c r="AD35"/>
      <c r="AE35"/>
      <c r="AF35"/>
      <c r="AG35"/>
      <c r="AH35"/>
      <c r="AI35"/>
      <c r="AJ35"/>
      <c r="AK35"/>
      <c r="AL35"/>
      <c r="AM35"/>
      <c r="AN35"/>
      <c r="AO35"/>
      <c r="AP35"/>
      <c r="AQ35"/>
      <c r="AR35"/>
      <c r="AS35"/>
      <c r="AT35"/>
      <c r="AU35"/>
      <c r="AV35"/>
      <c r="AW35"/>
      <c r="AX35"/>
      <c r="AY35" s="14"/>
    </row>
    <row r="36" spans="2:52" x14ac:dyDescent="0.25">
      <c r="B36" s="28"/>
      <c r="C36" s="29"/>
      <c r="E36" s="13"/>
      <c r="F36"/>
      <c r="G36" s="499" t="s">
        <v>535</v>
      </c>
      <c r="H36" s="500"/>
      <c r="I36" s="500"/>
      <c r="J36" s="500"/>
      <c r="K36" s="500"/>
      <c r="L36" s="423">
        <f>SUM(O14:O19)</f>
        <v>9448330.4076259732</v>
      </c>
      <c r="M36" s="424">
        <f t="shared" si="2"/>
        <v>7558664.3261007788</v>
      </c>
      <c r="N36" s="185">
        <f>0.2*L36</f>
        <v>1889666.0815251947</v>
      </c>
      <c r="O36" s="185"/>
      <c r="P36" s="426">
        <f t="shared" si="3"/>
        <v>9448330.4076259732</v>
      </c>
      <c r="Q36" s="427">
        <f t="shared" si="4"/>
        <v>1889666.0815251947</v>
      </c>
      <c r="S36"/>
      <c r="T36"/>
      <c r="U36"/>
      <c r="V36"/>
      <c r="W36"/>
      <c r="X36"/>
      <c r="Y36"/>
      <c r="Z36"/>
      <c r="AA36"/>
      <c r="AB36"/>
      <c r="AC36"/>
      <c r="AD36"/>
      <c r="AE36"/>
      <c r="AF36"/>
      <c r="AG36"/>
      <c r="AH36"/>
      <c r="AI36"/>
      <c r="AJ36"/>
      <c r="AK36"/>
      <c r="AL36"/>
      <c r="AM36"/>
      <c r="AN36"/>
      <c r="AO36"/>
      <c r="AP36"/>
      <c r="AQ36"/>
      <c r="AR36"/>
      <c r="AS36"/>
      <c r="AT36"/>
      <c r="AU36"/>
      <c r="AV36"/>
      <c r="AW36"/>
      <c r="AX36"/>
      <c r="AY36" s="14"/>
    </row>
    <row r="37" spans="2:52" x14ac:dyDescent="0.25">
      <c r="B37" s="28"/>
      <c r="C37" s="29"/>
      <c r="E37" s="13"/>
      <c r="F37"/>
      <c r="G37" s="499" t="s">
        <v>536</v>
      </c>
      <c r="H37" s="500"/>
      <c r="I37" s="500"/>
      <c r="J37" s="500"/>
      <c r="K37" s="500"/>
      <c r="L37" s="423">
        <f>SUM(O20:O26)</f>
        <v>45944970.658925906</v>
      </c>
      <c r="M37" s="424">
        <f t="shared" si="2"/>
        <v>36755976.527140729</v>
      </c>
      <c r="N37" s="185">
        <f>0.2*L37</f>
        <v>9188994.1317851823</v>
      </c>
      <c r="O37" s="185"/>
      <c r="P37" s="426">
        <f t="shared" si="3"/>
        <v>45944970.658925913</v>
      </c>
      <c r="Q37" s="427">
        <f t="shared" si="4"/>
        <v>9188994.1317851823</v>
      </c>
      <c r="S37"/>
      <c r="T37"/>
      <c r="U37"/>
      <c r="V37"/>
      <c r="W37"/>
      <c r="X37"/>
      <c r="Y37"/>
      <c r="Z37"/>
      <c r="AA37"/>
      <c r="AB37"/>
      <c r="AC37"/>
      <c r="AD37"/>
      <c r="AE37"/>
      <c r="AF37"/>
      <c r="AG37"/>
      <c r="AH37"/>
      <c r="AI37"/>
      <c r="AJ37"/>
      <c r="AK37"/>
      <c r="AL37"/>
      <c r="AM37"/>
      <c r="AN37"/>
      <c r="AO37"/>
      <c r="AP37"/>
      <c r="AQ37"/>
      <c r="AR37"/>
      <c r="AS37"/>
      <c r="AT37"/>
      <c r="AU37"/>
      <c r="AV37"/>
      <c r="AW37"/>
      <c r="AX37"/>
      <c r="AY37"/>
      <c r="AZ37" s="14"/>
    </row>
    <row r="38" spans="2:52" ht="15.75" thickBot="1" x14ac:dyDescent="0.3">
      <c r="B38" s="28"/>
      <c r="C38" s="29"/>
      <c r="E38" s="13"/>
      <c r="F38"/>
      <c r="G38" s="501" t="s">
        <v>537</v>
      </c>
      <c r="H38" s="502"/>
      <c r="I38" s="502"/>
      <c r="J38" s="502"/>
      <c r="K38" s="502"/>
      <c r="L38" s="428">
        <f>O29</f>
        <v>3173398.303327594</v>
      </c>
      <c r="M38" s="429">
        <f>0.8*L38</f>
        <v>2538718.6426620753</v>
      </c>
      <c r="N38" s="430">
        <f>0.2*L38</f>
        <v>634679.66066551884</v>
      </c>
      <c r="O38" s="430"/>
      <c r="P38" s="431">
        <f t="shared" si="3"/>
        <v>3173398.303327594</v>
      </c>
      <c r="Q38" s="432">
        <f t="shared" si="4"/>
        <v>634679.66066551884</v>
      </c>
      <c r="S38"/>
      <c r="T38"/>
      <c r="U38"/>
      <c r="V38"/>
      <c r="W38"/>
      <c r="X38"/>
      <c r="Y38"/>
      <c r="Z38"/>
      <c r="AA38"/>
      <c r="AB38"/>
      <c r="AC38"/>
      <c r="AD38"/>
      <c r="AE38"/>
      <c r="AF38"/>
      <c r="AG38"/>
      <c r="AH38"/>
      <c r="AI38"/>
      <c r="AJ38"/>
      <c r="AK38"/>
      <c r="AL38"/>
      <c r="AM38"/>
      <c r="AN38"/>
      <c r="AO38"/>
      <c r="AP38"/>
      <c r="AQ38"/>
      <c r="AR38"/>
      <c r="AS38"/>
      <c r="AT38"/>
      <c r="AU38"/>
      <c r="AV38"/>
      <c r="AW38"/>
      <c r="AX38"/>
      <c r="AY38"/>
      <c r="AZ38" s="14"/>
    </row>
    <row r="39" spans="2:52" ht="15.75" thickBot="1" x14ac:dyDescent="0.3">
      <c r="B39" s="28"/>
      <c r="C39" s="29"/>
      <c r="E39" s="13"/>
      <c r="F39"/>
      <c r="G39" s="414" t="s">
        <v>538</v>
      </c>
      <c r="H39" s="415"/>
      <c r="I39" s="415"/>
      <c r="J39" s="415"/>
      <c r="K39" s="415"/>
      <c r="L39" s="393">
        <f>SUM(L33:L38)</f>
        <v>66641364.369879469</v>
      </c>
      <c r="M39" s="433">
        <f>SUM(M33:M38)</f>
        <v>53313091.495903581</v>
      </c>
      <c r="N39" s="434">
        <f>SUM(N33:N38)</f>
        <v>11713339.873975897</v>
      </c>
      <c r="O39" s="434">
        <f t="shared" ref="O39" si="5">SUM(O33:O38)</f>
        <v>1614933</v>
      </c>
      <c r="P39" s="393">
        <f t="shared" si="3"/>
        <v>66641364.369879477</v>
      </c>
      <c r="Q39" s="435">
        <f t="shared" si="4"/>
        <v>13328272.873975897</v>
      </c>
      <c r="S39"/>
      <c r="T39"/>
      <c r="U39"/>
      <c r="V39"/>
      <c r="W39"/>
      <c r="X39"/>
      <c r="Y39"/>
      <c r="Z39"/>
      <c r="AA39"/>
      <c r="AB39"/>
      <c r="AC39"/>
      <c r="AD39"/>
      <c r="AE39"/>
      <c r="AF39"/>
      <c r="AG39"/>
      <c r="AH39"/>
      <c r="AI39"/>
      <c r="AJ39"/>
      <c r="AK39"/>
      <c r="AL39"/>
      <c r="AM39"/>
      <c r="AN39"/>
      <c r="AO39"/>
      <c r="AP39"/>
      <c r="AQ39"/>
      <c r="AR39"/>
      <c r="AS39"/>
      <c r="AT39"/>
      <c r="AU39"/>
      <c r="AV39"/>
      <c r="AW39"/>
      <c r="AX39"/>
      <c r="AY39"/>
      <c r="AZ39" s="14"/>
    </row>
    <row r="40" spans="2:52" x14ac:dyDescent="0.25">
      <c r="B40" s="28"/>
      <c r="C40" s="29"/>
      <c r="E40" s="13"/>
      <c r="F40"/>
      <c r="G40"/>
      <c r="H40"/>
      <c r="I40"/>
      <c r="J40"/>
      <c r="K40"/>
      <c r="L40"/>
      <c r="M40" s="436">
        <f>M39/$L$39</f>
        <v>0.8</v>
      </c>
      <c r="N40" s="436">
        <f t="shared" ref="N40:O40" si="6">N39/$L$39</f>
        <v>0.17576680766863301</v>
      </c>
      <c r="O40" s="436">
        <f t="shared" si="6"/>
        <v>2.4233192331367042E-2</v>
      </c>
      <c r="P40" s="436">
        <f>P39/$L$39</f>
        <v>1.0000000000000002</v>
      </c>
      <c r="Q40" s="436">
        <f>Q39/$L$39</f>
        <v>0.20000000000000004</v>
      </c>
      <c r="S40"/>
      <c r="T40"/>
      <c r="U40"/>
      <c r="V40"/>
      <c r="W40"/>
      <c r="X40"/>
      <c r="Y40"/>
      <c r="Z40"/>
      <c r="AA40"/>
      <c r="AB40"/>
      <c r="AC40"/>
      <c r="AD40"/>
      <c r="AE40"/>
      <c r="AF40"/>
      <c r="AG40"/>
      <c r="AH40"/>
      <c r="AI40"/>
      <c r="AJ40"/>
      <c r="AK40"/>
      <c r="AL40"/>
      <c r="AM40"/>
      <c r="AN40"/>
      <c r="AO40"/>
      <c r="AP40"/>
      <c r="AQ40"/>
      <c r="AR40"/>
      <c r="AS40"/>
      <c r="AT40"/>
      <c r="AU40"/>
      <c r="AV40"/>
      <c r="AW40"/>
      <c r="AX40"/>
      <c r="AY40"/>
      <c r="AZ40" s="14"/>
    </row>
    <row r="41" spans="2:52" x14ac:dyDescent="0.25">
      <c r="B41" s="28"/>
      <c r="C41" s="29"/>
      <c r="E41" s="13"/>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s="14"/>
    </row>
    <row r="42" spans="2:52" x14ac:dyDescent="0.25">
      <c r="B42" s="28"/>
      <c r="C42" s="29"/>
      <c r="E42" s="13"/>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s="14"/>
    </row>
    <row r="43" spans="2:52" x14ac:dyDescent="0.25">
      <c r="B43" s="28"/>
      <c r="C43" s="29"/>
      <c r="E43" s="1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s="14"/>
    </row>
    <row r="44" spans="2:52" x14ac:dyDescent="0.25">
      <c r="B44" s="28"/>
      <c r="C44" s="29"/>
      <c r="E44" s="13"/>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s="14"/>
    </row>
    <row r="45" spans="2:52" x14ac:dyDescent="0.25">
      <c r="B45" s="28"/>
      <c r="C45" s="29"/>
      <c r="E45" s="13"/>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s="14"/>
    </row>
    <row r="46" spans="2:52" x14ac:dyDescent="0.25">
      <c r="B46" s="28"/>
      <c r="C46" s="29"/>
      <c r="E46" s="13"/>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s="14"/>
    </row>
    <row r="47" spans="2:52" x14ac:dyDescent="0.25">
      <c r="B47" s="28"/>
      <c r="C47" s="29"/>
      <c r="E47" s="13"/>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s="14"/>
    </row>
    <row r="48" spans="2:52" ht="15.75" thickBot="1" x14ac:dyDescent="0.3">
      <c r="B48" s="28"/>
      <c r="C48" s="29"/>
      <c r="E48" s="15"/>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7"/>
    </row>
  </sheetData>
  <mergeCells count="15">
    <mergeCell ref="G28:M28"/>
    <mergeCell ref="E10:F10"/>
    <mergeCell ref="E11:F11"/>
    <mergeCell ref="E12:F12"/>
    <mergeCell ref="E14:F19"/>
    <mergeCell ref="E20:F26"/>
    <mergeCell ref="L27:O27"/>
    <mergeCell ref="G36:K36"/>
    <mergeCell ref="G37:K37"/>
    <mergeCell ref="G38:K38"/>
    <mergeCell ref="G29:M29"/>
    <mergeCell ref="G30:M30"/>
    <mergeCell ref="G33:K33"/>
    <mergeCell ref="G34:K34"/>
    <mergeCell ref="G35:K35"/>
  </mergeCells>
  <conditionalFormatting sqref="B9:B23">
    <cfRule type="expression" dxfId="19" priority="1">
      <formula>A9=""</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5E38E-8165-48A5-9087-43035F106B2B}">
  <sheetPr>
    <tabColor theme="9" tint="0.39997558519241921"/>
  </sheetPr>
  <dimension ref="A1:BB97"/>
  <sheetViews>
    <sheetView topLeftCell="A4" zoomScaleNormal="100" workbookViewId="0">
      <selection activeCell="C8" sqref="C8:C32"/>
    </sheetView>
  </sheetViews>
  <sheetFormatPr defaultColWidth="9.140625" defaultRowHeight="15" x14ac:dyDescent="0.25"/>
  <cols>
    <col min="1" max="1" width="28.5703125" style="5" customWidth="1"/>
    <col min="2" max="2" width="42" style="5" customWidth="1"/>
    <col min="3" max="3" width="37.85546875" style="5" customWidth="1"/>
    <col min="4" max="4" width="46.5703125" style="5" customWidth="1"/>
    <col min="5" max="5" width="10.85546875" style="5" bestFit="1" customWidth="1"/>
    <col min="6" max="8" width="9.140625" style="5"/>
    <col min="9" max="9" width="17" style="5" customWidth="1"/>
    <col min="10" max="10" width="12" style="5" customWidth="1"/>
    <col min="11" max="11" width="12.42578125" style="5" bestFit="1" customWidth="1"/>
    <col min="12" max="12" width="14.5703125" style="5" bestFit="1" customWidth="1"/>
    <col min="13" max="13" width="11" style="5" bestFit="1" customWidth="1"/>
    <col min="14" max="14" width="14.140625" style="5" bestFit="1" customWidth="1"/>
    <col min="15" max="15" width="14.5703125" style="5" bestFit="1" customWidth="1"/>
    <col min="16" max="16" width="11" style="5" bestFit="1" customWidth="1"/>
    <col min="17" max="17" width="14.140625" style="5" bestFit="1" customWidth="1"/>
    <col min="18" max="18" width="15.7109375" style="5" bestFit="1" customWidth="1"/>
    <col min="19" max="16384" width="9.140625" style="5"/>
  </cols>
  <sheetData>
    <row r="1" spans="1:54" ht="20.25" thickBot="1" x14ac:dyDescent="0.35">
      <c r="A1" s="93" t="s">
        <v>215</v>
      </c>
    </row>
    <row r="2" spans="1:54" ht="15.75" thickTop="1" x14ac:dyDescent="0.25">
      <c r="A2" s="149" t="s">
        <v>257</v>
      </c>
      <c r="B2" s="148"/>
      <c r="C2" s="148"/>
      <c r="D2" s="148"/>
      <c r="E2" s="148"/>
    </row>
    <row r="3" spans="1:54" x14ac:dyDescent="0.25">
      <c r="A3" s="5" t="s">
        <v>198</v>
      </c>
    </row>
    <row r="4" spans="1:54" x14ac:dyDescent="0.25">
      <c r="A4" s="149" t="s">
        <v>331</v>
      </c>
      <c r="B4" s="149"/>
      <c r="C4" s="149"/>
      <c r="D4" s="149"/>
      <c r="E4" s="149"/>
      <c r="F4" s="149"/>
    </row>
    <row r="5" spans="1:54" x14ac:dyDescent="0.25">
      <c r="A5" s="5" t="s">
        <v>198</v>
      </c>
    </row>
    <row r="6" spans="1:54" ht="15.75" thickBot="1" x14ac:dyDescent="0.3">
      <c r="A6" s="94" t="s">
        <v>248</v>
      </c>
    </row>
    <row r="7" spans="1:54" x14ac:dyDescent="0.25">
      <c r="A7" s="104" t="s">
        <v>4</v>
      </c>
      <c r="B7" s="105" t="s">
        <v>169</v>
      </c>
      <c r="C7" s="105" t="s">
        <v>170</v>
      </c>
      <c r="D7" s="105" t="s">
        <v>161</v>
      </c>
      <c r="G7" s="214" t="s">
        <v>544</v>
      </c>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BB7" s="12"/>
    </row>
    <row r="8" spans="1:54" x14ac:dyDescent="0.25">
      <c r="A8" s="6">
        <f>'Project Information'!$B$9</f>
        <v>2028</v>
      </c>
      <c r="B8" s="22">
        <f>$K$29</f>
        <v>4823309</v>
      </c>
      <c r="C8" s="22">
        <f t="shared" ref="C8:C17" si="0">$K$18</f>
        <v>300000</v>
      </c>
      <c r="D8" s="26">
        <f t="shared" ref="D8:D24" si="1">C8-B8</f>
        <v>-4523309</v>
      </c>
      <c r="E8" s="353"/>
      <c r="G8" s="13"/>
      <c r="H8" s="310"/>
      <c r="I8" s="327"/>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s="14"/>
    </row>
    <row r="9" spans="1:54" ht="15.75" thickBot="1" x14ac:dyDescent="0.3">
      <c r="A9" s="1">
        <f>IF(A8&lt;'Project Information'!B$11,A8+1,"")</f>
        <v>2029</v>
      </c>
      <c r="B9" s="22">
        <f t="shared" ref="B9:B17" si="2">$K$29</f>
        <v>4823309</v>
      </c>
      <c r="C9" s="22">
        <f t="shared" si="0"/>
        <v>300000</v>
      </c>
      <c r="D9" s="8">
        <f t="shared" si="1"/>
        <v>-4523309</v>
      </c>
      <c r="E9" s="353"/>
      <c r="G9" s="13"/>
      <c r="H9"/>
      <c r="I9" s="523" t="s">
        <v>483</v>
      </c>
      <c r="J9" s="523"/>
      <c r="K9" s="524"/>
      <c r="L9" s="525" t="s">
        <v>484</v>
      </c>
      <c r="M9" s="523"/>
      <c r="N9" s="524"/>
      <c r="O9" s="525" t="s">
        <v>485</v>
      </c>
      <c r="P9" s="523"/>
      <c r="Q9" s="523"/>
      <c r="R9" t="s">
        <v>495</v>
      </c>
      <c r="S9"/>
      <c r="T9"/>
      <c r="U9"/>
      <c r="V9"/>
      <c r="W9"/>
      <c r="X9"/>
      <c r="Y9"/>
      <c r="Z9"/>
      <c r="AA9"/>
      <c r="AB9"/>
      <c r="AC9"/>
      <c r="AD9"/>
      <c r="AE9"/>
      <c r="AF9"/>
      <c r="AG9"/>
      <c r="AH9"/>
      <c r="AI9"/>
      <c r="AJ9"/>
      <c r="AK9"/>
      <c r="AL9"/>
      <c r="AM9"/>
      <c r="AN9"/>
      <c r="AO9"/>
      <c r="AP9"/>
      <c r="AQ9"/>
      <c r="AR9"/>
      <c r="AS9"/>
      <c r="AT9"/>
      <c r="AU9"/>
      <c r="AV9"/>
      <c r="AW9"/>
      <c r="AX9"/>
      <c r="AY9"/>
      <c r="AZ9"/>
      <c r="BA9"/>
      <c r="BB9" s="14"/>
    </row>
    <row r="10" spans="1:54" x14ac:dyDescent="0.25">
      <c r="A10" s="1">
        <f>IF(A9&lt;'Project Information'!B$11,A9+1,"")</f>
        <v>2030</v>
      </c>
      <c r="B10" s="22">
        <f t="shared" si="2"/>
        <v>4823309</v>
      </c>
      <c r="C10" s="22">
        <f t="shared" si="0"/>
        <v>300000</v>
      </c>
      <c r="D10" s="8">
        <f t="shared" si="1"/>
        <v>-4523309</v>
      </c>
      <c r="E10" s="353"/>
      <c r="G10" s="13"/>
      <c r="H10" s="205" t="s">
        <v>187</v>
      </c>
      <c r="I10" s="316" t="s">
        <v>486</v>
      </c>
      <c r="J10" s="316" t="s">
        <v>487</v>
      </c>
      <c r="K10" s="316" t="s">
        <v>488</v>
      </c>
      <c r="L10" s="317" t="s">
        <v>486</v>
      </c>
      <c r="M10" s="316" t="s">
        <v>487</v>
      </c>
      <c r="N10" s="318" t="s">
        <v>488</v>
      </c>
      <c r="O10" s="316" t="s">
        <v>486</v>
      </c>
      <c r="P10" s="316" t="s">
        <v>487</v>
      </c>
      <c r="Q10" s="316" t="s">
        <v>488</v>
      </c>
      <c r="R10" s="316" t="s">
        <v>488</v>
      </c>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s="14"/>
    </row>
    <row r="11" spans="1:54" x14ac:dyDescent="0.25">
      <c r="A11" s="1">
        <f>IF(A10&lt;'Project Information'!B$11,A10+1,"")</f>
        <v>2031</v>
      </c>
      <c r="B11" s="22">
        <f t="shared" si="2"/>
        <v>4823309</v>
      </c>
      <c r="C11" s="22">
        <f t="shared" si="0"/>
        <v>300000</v>
      </c>
      <c r="D11" s="8">
        <f t="shared" si="1"/>
        <v>-4523309</v>
      </c>
      <c r="E11" s="353"/>
      <c r="G11" s="13"/>
      <c r="H11"/>
      <c r="I11"/>
      <c r="J11"/>
      <c r="K11"/>
      <c r="L11" s="61" t="s">
        <v>489</v>
      </c>
      <c r="M11" s="175">
        <v>4000</v>
      </c>
      <c r="N11" s="309">
        <v>364389</v>
      </c>
      <c r="O11" t="s">
        <v>489</v>
      </c>
      <c r="P11" s="175">
        <v>8000</v>
      </c>
      <c r="Q11" s="308">
        <v>728779</v>
      </c>
      <c r="R11" s="308">
        <f>0.5*Q11</f>
        <v>364389.5</v>
      </c>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s="14"/>
    </row>
    <row r="12" spans="1:54" x14ac:dyDescent="0.25">
      <c r="A12" s="1">
        <f>IF(A11&lt;'Project Information'!B$11,A11+1,"")</f>
        <v>2032</v>
      </c>
      <c r="B12" s="22">
        <f t="shared" si="2"/>
        <v>4823309</v>
      </c>
      <c r="C12" s="22">
        <f t="shared" si="0"/>
        <v>300000</v>
      </c>
      <c r="D12" s="8">
        <f t="shared" si="1"/>
        <v>-4523309</v>
      </c>
      <c r="E12" s="353"/>
      <c r="G12" s="13"/>
      <c r="H12"/>
      <c r="I12"/>
      <c r="J12"/>
      <c r="K12"/>
      <c r="L12" s="61" t="s">
        <v>113</v>
      </c>
      <c r="M12" s="175">
        <v>10560</v>
      </c>
      <c r="N12" s="309">
        <v>593147</v>
      </c>
      <c r="O12" t="s">
        <v>113</v>
      </c>
      <c r="P12" s="175">
        <v>31680</v>
      </c>
      <c r="Q12" s="308">
        <v>1779440</v>
      </c>
      <c r="R12" s="308">
        <f t="shared" ref="R12:R18" si="3">0.5*Q12</f>
        <v>889720</v>
      </c>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s="14"/>
    </row>
    <row r="13" spans="1:54" x14ac:dyDescent="0.25">
      <c r="A13" s="1">
        <f>IF(A12&lt;'Project Information'!B$11,A12+1,"")</f>
        <v>2033</v>
      </c>
      <c r="B13" s="22">
        <f t="shared" si="2"/>
        <v>4823309</v>
      </c>
      <c r="C13" s="22">
        <f t="shared" si="0"/>
        <v>300000</v>
      </c>
      <c r="D13" s="8">
        <f t="shared" si="1"/>
        <v>-4523309</v>
      </c>
      <c r="E13" s="353"/>
      <c r="G13" s="13"/>
      <c r="H13"/>
      <c r="I13"/>
      <c r="J13"/>
      <c r="K13"/>
      <c r="L13" s="61" t="s">
        <v>490</v>
      </c>
      <c r="M13" s="175">
        <v>10000</v>
      </c>
      <c r="N13" s="309">
        <v>250000</v>
      </c>
      <c r="O13" t="s">
        <v>490</v>
      </c>
      <c r="P13" s="175">
        <v>20000</v>
      </c>
      <c r="Q13" s="308">
        <v>500000</v>
      </c>
      <c r="R13" s="308">
        <f t="shared" si="3"/>
        <v>250000</v>
      </c>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s="14"/>
    </row>
    <row r="14" spans="1:54" x14ac:dyDescent="0.25">
      <c r="A14" s="1">
        <f>IF(A13&lt;'Project Information'!B$11,A13+1,"")</f>
        <v>2034</v>
      </c>
      <c r="B14" s="22">
        <f t="shared" si="2"/>
        <v>4823309</v>
      </c>
      <c r="C14" s="22">
        <f t="shared" si="0"/>
        <v>300000</v>
      </c>
      <c r="D14" s="8">
        <f t="shared" si="1"/>
        <v>-4523309</v>
      </c>
      <c r="E14" s="353"/>
      <c r="G14" s="13"/>
      <c r="H14"/>
      <c r="I14"/>
      <c r="J14"/>
      <c r="K14"/>
      <c r="L14" s="61" t="s">
        <v>491</v>
      </c>
      <c r="M14">
        <v>1</v>
      </c>
      <c r="N14" s="309">
        <v>67708</v>
      </c>
      <c r="O14" t="s">
        <v>491</v>
      </c>
      <c r="P14">
        <v>1</v>
      </c>
      <c r="Q14" s="308">
        <v>123125</v>
      </c>
      <c r="R14" s="308">
        <f t="shared" si="3"/>
        <v>61562.5</v>
      </c>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s="14"/>
    </row>
    <row r="15" spans="1:54" x14ac:dyDescent="0.25">
      <c r="A15" s="1">
        <f>IF(A14&lt;'Project Information'!B$11,A14+1,"")</f>
        <v>2035</v>
      </c>
      <c r="B15" s="22">
        <f t="shared" si="2"/>
        <v>4823309</v>
      </c>
      <c r="C15" s="22">
        <f t="shared" si="0"/>
        <v>300000</v>
      </c>
      <c r="D15" s="8">
        <f t="shared" si="1"/>
        <v>-4523309</v>
      </c>
      <c r="E15" s="353"/>
      <c r="G15" s="13"/>
      <c r="H15"/>
      <c r="I15"/>
      <c r="J15"/>
      <c r="K15"/>
      <c r="L15" s="61" t="s">
        <v>492</v>
      </c>
      <c r="M15">
        <v>1</v>
      </c>
      <c r="N15" s="309">
        <v>104022</v>
      </c>
      <c r="O15" t="s">
        <v>492</v>
      </c>
      <c r="P15">
        <v>1</v>
      </c>
      <c r="Q15" s="308">
        <v>158044</v>
      </c>
      <c r="R15" s="308">
        <f t="shared" si="3"/>
        <v>79022</v>
      </c>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s="14"/>
    </row>
    <row r="16" spans="1:54" x14ac:dyDescent="0.25">
      <c r="A16" s="1">
        <f>IF(A15&lt;'Project Information'!B$11,A15+1,"")</f>
        <v>2036</v>
      </c>
      <c r="B16" s="22">
        <f t="shared" si="2"/>
        <v>4823309</v>
      </c>
      <c r="C16" s="22">
        <f t="shared" si="0"/>
        <v>300000</v>
      </c>
      <c r="D16" s="8">
        <f t="shared" si="1"/>
        <v>-4523309</v>
      </c>
      <c r="E16" s="353"/>
      <c r="G16" s="13"/>
      <c r="H16"/>
      <c r="I16"/>
      <c r="J16"/>
      <c r="K16"/>
      <c r="L16" s="61" t="s">
        <v>493</v>
      </c>
      <c r="M16">
        <v>1</v>
      </c>
      <c r="N16" s="309">
        <v>112236</v>
      </c>
      <c r="O16" t="s">
        <v>493</v>
      </c>
      <c r="P16">
        <v>1</v>
      </c>
      <c r="Q16" s="308">
        <v>336708</v>
      </c>
      <c r="R16" s="308">
        <f t="shared" si="3"/>
        <v>168354</v>
      </c>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s="14"/>
    </row>
    <row r="17" spans="1:54" x14ac:dyDescent="0.25">
      <c r="A17" s="1">
        <f>IF(A16&lt;'Project Information'!B$11,A16+1,"")</f>
        <v>2037</v>
      </c>
      <c r="B17" s="22">
        <f t="shared" si="2"/>
        <v>4823309</v>
      </c>
      <c r="C17" s="22">
        <f t="shared" si="0"/>
        <v>300000</v>
      </c>
      <c r="D17" s="8">
        <f t="shared" si="1"/>
        <v>-4523309</v>
      </c>
      <c r="E17" s="353"/>
      <c r="G17" s="13"/>
      <c r="H17"/>
      <c r="I17" s="249"/>
      <c r="J17" s="249"/>
      <c r="K17" s="249"/>
      <c r="L17" s="326" t="s">
        <v>494</v>
      </c>
      <c r="M17" s="249">
        <v>1</v>
      </c>
      <c r="N17" s="325">
        <v>123998</v>
      </c>
      <c r="O17" s="249" t="s">
        <v>494</v>
      </c>
      <c r="P17" s="249">
        <v>1</v>
      </c>
      <c r="Q17" s="323">
        <v>247996</v>
      </c>
      <c r="R17" s="323">
        <f t="shared" si="3"/>
        <v>123998</v>
      </c>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s="14"/>
    </row>
    <row r="18" spans="1:54" x14ac:dyDescent="0.25">
      <c r="A18" s="1">
        <f>IF(A17&lt;'Project Information'!B$11,A17+1,"")</f>
        <v>2038</v>
      </c>
      <c r="B18" s="22">
        <f>$N$29</f>
        <v>6213208</v>
      </c>
      <c r="C18" s="22">
        <f t="shared" ref="C18:C27" si="4">$N$18</f>
        <v>1615501</v>
      </c>
      <c r="D18" s="8">
        <f t="shared" si="1"/>
        <v>-4597707</v>
      </c>
      <c r="E18" s="353"/>
      <c r="G18" s="13"/>
      <c r="H18"/>
      <c r="I18"/>
      <c r="J18" s="310" t="s">
        <v>19</v>
      </c>
      <c r="K18" s="311">
        <v>300000</v>
      </c>
      <c r="L18" s="313"/>
      <c r="M18" s="311" t="s">
        <v>19</v>
      </c>
      <c r="N18" s="312">
        <v>1615501</v>
      </c>
      <c r="O18" s="311"/>
      <c r="P18" s="311" t="s">
        <v>19</v>
      </c>
      <c r="Q18" s="311">
        <v>3874093</v>
      </c>
      <c r="R18" s="311">
        <f t="shared" si="3"/>
        <v>1937046.5</v>
      </c>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s="14"/>
    </row>
    <row r="19" spans="1:54" x14ac:dyDescent="0.25">
      <c r="A19" s="1">
        <f>IF(A18&lt;'Project Information'!B$11,A18+1,"")</f>
        <v>2039</v>
      </c>
      <c r="B19" s="22">
        <f t="shared" ref="B19:B27" si="5">$N$29</f>
        <v>6213208</v>
      </c>
      <c r="C19" s="22">
        <f t="shared" si="4"/>
        <v>1615501</v>
      </c>
      <c r="D19" s="8">
        <f t="shared" si="1"/>
        <v>-4597707</v>
      </c>
      <c r="E19" s="353"/>
      <c r="G19" s="13"/>
      <c r="H19"/>
      <c r="I19"/>
      <c r="J19" s="310"/>
      <c r="K19" s="311"/>
      <c r="L19" s="311"/>
      <c r="M19" s="311"/>
      <c r="N19" s="311"/>
      <c r="O19" s="311"/>
      <c r="P19" s="311"/>
      <c r="Q19" s="311"/>
      <c r="R19" s="311"/>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s="14"/>
    </row>
    <row r="20" spans="1:54" x14ac:dyDescent="0.25">
      <c r="A20" s="1">
        <f>IF(A19&lt;'Project Information'!B$11,A19+1,"")</f>
        <v>2040</v>
      </c>
      <c r="B20" s="22">
        <f t="shared" si="5"/>
        <v>6213208</v>
      </c>
      <c r="C20" s="22">
        <f t="shared" si="4"/>
        <v>1615501</v>
      </c>
      <c r="D20" s="8">
        <f t="shared" si="1"/>
        <v>-4597707</v>
      </c>
      <c r="E20" s="353"/>
      <c r="G20" s="13"/>
      <c r="H20" s="1"/>
      <c r="I20" s="1"/>
      <c r="J20" s="1"/>
      <c r="K20" s="7"/>
      <c r="L20" s="314"/>
      <c r="M20" s="7"/>
      <c r="N20" s="18"/>
      <c r="O20" s="7"/>
      <c r="P20" s="7"/>
      <c r="Q20" s="7"/>
      <c r="R20" s="7"/>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s="14"/>
    </row>
    <row r="21" spans="1:54" x14ac:dyDescent="0.25">
      <c r="A21" s="1">
        <f>IF(A20&lt;'Project Information'!B$11,A20+1,"")</f>
        <v>2041</v>
      </c>
      <c r="B21" s="22">
        <f t="shared" si="5"/>
        <v>6213208</v>
      </c>
      <c r="C21" s="22">
        <f t="shared" si="4"/>
        <v>1615501</v>
      </c>
      <c r="D21" s="8">
        <f t="shared" si="1"/>
        <v>-4597707</v>
      </c>
      <c r="E21" s="353"/>
      <c r="G21" s="13"/>
      <c r="H21" s="205" t="s">
        <v>186</v>
      </c>
      <c r="I21" s="319" t="s">
        <v>486</v>
      </c>
      <c r="J21" s="319" t="s">
        <v>487</v>
      </c>
      <c r="K21" s="320" t="s">
        <v>488</v>
      </c>
      <c r="L21" s="321" t="s">
        <v>486</v>
      </c>
      <c r="M21" s="320" t="s">
        <v>487</v>
      </c>
      <c r="N21" s="322" t="s">
        <v>488</v>
      </c>
      <c r="O21" s="320" t="s">
        <v>486</v>
      </c>
      <c r="P21" s="320" t="s">
        <v>487</v>
      </c>
      <c r="Q21" s="320" t="s">
        <v>488</v>
      </c>
      <c r="R21" s="320" t="s">
        <v>488</v>
      </c>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s="14"/>
    </row>
    <row r="22" spans="1:54" x14ac:dyDescent="0.25">
      <c r="A22" s="1">
        <f>IF(A21&lt;'Project Information'!B$11,A21+1,"")</f>
        <v>2042</v>
      </c>
      <c r="B22" s="22">
        <f t="shared" si="5"/>
        <v>6213208</v>
      </c>
      <c r="C22" s="22">
        <f t="shared" si="4"/>
        <v>1615501</v>
      </c>
      <c r="D22" s="8">
        <f t="shared" si="1"/>
        <v>-4597707</v>
      </c>
      <c r="E22" s="353"/>
      <c r="G22" s="13"/>
      <c r="H22"/>
      <c r="I22" t="s">
        <v>489</v>
      </c>
      <c r="J22" s="175">
        <v>15000</v>
      </c>
      <c r="K22" s="308">
        <v>1366460</v>
      </c>
      <c r="L22" s="315" t="s">
        <v>489</v>
      </c>
      <c r="M22" s="175">
        <v>18000</v>
      </c>
      <c r="N22" s="309">
        <v>1639752</v>
      </c>
      <c r="O22" s="308" t="s">
        <v>489</v>
      </c>
      <c r="P22" s="175">
        <v>18000</v>
      </c>
      <c r="Q22" s="308">
        <v>1885715</v>
      </c>
      <c r="R22" s="308">
        <f t="shared" ref="R22:R29" si="6">0.5*Q22</f>
        <v>942857.5</v>
      </c>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s="14"/>
    </row>
    <row r="23" spans="1:54" x14ac:dyDescent="0.25">
      <c r="A23" s="1">
        <f>IF(A22&lt;'Project Information'!B$11,A22+1,"")</f>
        <v>2043</v>
      </c>
      <c r="B23" s="22">
        <f t="shared" si="5"/>
        <v>6213208</v>
      </c>
      <c r="C23" s="22">
        <f t="shared" si="4"/>
        <v>1615501</v>
      </c>
      <c r="D23" s="8">
        <f t="shared" si="1"/>
        <v>-4597707</v>
      </c>
      <c r="E23" s="353"/>
      <c r="G23" s="13"/>
      <c r="H23"/>
      <c r="I23" t="s">
        <v>113</v>
      </c>
      <c r="J23" s="175">
        <v>31680</v>
      </c>
      <c r="K23" s="308">
        <v>1779440</v>
      </c>
      <c r="L23" s="315" t="s">
        <v>113</v>
      </c>
      <c r="M23" s="175">
        <v>42240</v>
      </c>
      <c r="N23" s="309">
        <v>2372587</v>
      </c>
      <c r="O23" s="308" t="s">
        <v>113</v>
      </c>
      <c r="P23" s="175">
        <v>42240</v>
      </c>
      <c r="Q23" s="308">
        <v>2728475</v>
      </c>
      <c r="R23" s="308">
        <f t="shared" si="6"/>
        <v>1364237.5</v>
      </c>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s="14"/>
    </row>
    <row r="24" spans="1:54" x14ac:dyDescent="0.25">
      <c r="A24" s="1">
        <f>IF(A23&lt;'Project Information'!B$11,A23+1,"")</f>
        <v>2044</v>
      </c>
      <c r="B24" s="22">
        <f t="shared" si="5"/>
        <v>6213208</v>
      </c>
      <c r="C24" s="22">
        <f t="shared" si="4"/>
        <v>1615501</v>
      </c>
      <c r="D24" s="8">
        <f t="shared" si="1"/>
        <v>-4597707</v>
      </c>
      <c r="E24" s="353"/>
      <c r="G24" s="13"/>
      <c r="H24"/>
      <c r="I24" t="s">
        <v>490</v>
      </c>
      <c r="J24" s="175">
        <v>20000</v>
      </c>
      <c r="K24" s="308">
        <v>500000</v>
      </c>
      <c r="L24" s="315" t="s">
        <v>490</v>
      </c>
      <c r="M24" s="175">
        <v>30000</v>
      </c>
      <c r="N24" s="309">
        <v>750000</v>
      </c>
      <c r="O24" s="308" t="s">
        <v>490</v>
      </c>
      <c r="P24" s="175">
        <v>30000</v>
      </c>
      <c r="Q24" s="308">
        <v>862500</v>
      </c>
      <c r="R24" s="308">
        <f t="shared" si="6"/>
        <v>431250</v>
      </c>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s="14"/>
    </row>
    <row r="25" spans="1:54" x14ac:dyDescent="0.25">
      <c r="A25" s="1">
        <f>IF(A24&lt;'Project Information'!B$11,A24+1,"")</f>
        <v>2045</v>
      </c>
      <c r="B25" s="22">
        <f t="shared" si="5"/>
        <v>6213208</v>
      </c>
      <c r="C25" s="22">
        <f t="shared" si="4"/>
        <v>1615501</v>
      </c>
      <c r="D25" s="8">
        <f>C30-B30</f>
        <v>-3572595</v>
      </c>
      <c r="E25" s="353"/>
      <c r="G25" s="13"/>
      <c r="H25"/>
      <c r="I25" t="s">
        <v>491</v>
      </c>
      <c r="J25">
        <v>1</v>
      </c>
      <c r="K25" s="308">
        <v>123125</v>
      </c>
      <c r="L25" s="315" t="s">
        <v>491</v>
      </c>
      <c r="M25" s="308">
        <v>1</v>
      </c>
      <c r="N25" s="309">
        <v>150833</v>
      </c>
      <c r="O25" s="308" t="s">
        <v>491</v>
      </c>
      <c r="P25" s="308">
        <v>1</v>
      </c>
      <c r="Q25" s="308">
        <v>173458</v>
      </c>
      <c r="R25" s="308">
        <f t="shared" si="6"/>
        <v>86729</v>
      </c>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s="14"/>
    </row>
    <row r="26" spans="1:54" x14ac:dyDescent="0.25">
      <c r="A26" s="1">
        <f>IF(A25&lt;'Project Information'!B$11,A25+1,"")</f>
        <v>2046</v>
      </c>
      <c r="B26" s="22">
        <f t="shared" si="5"/>
        <v>6213208</v>
      </c>
      <c r="C26" s="22">
        <f t="shared" si="4"/>
        <v>1615501</v>
      </c>
      <c r="D26" s="8">
        <f t="shared" ref="D26:D32" si="7">C26-B26</f>
        <v>-4597707</v>
      </c>
      <c r="E26" s="353"/>
      <c r="G26" s="13"/>
      <c r="H26"/>
      <c r="I26" t="s">
        <v>492</v>
      </c>
      <c r="J26">
        <v>1</v>
      </c>
      <c r="K26" s="308">
        <v>252583</v>
      </c>
      <c r="L26" s="315" t="s">
        <v>492</v>
      </c>
      <c r="M26" s="308">
        <v>1</v>
      </c>
      <c r="N26" s="309">
        <v>293099</v>
      </c>
      <c r="O26" s="308" t="s">
        <v>492</v>
      </c>
      <c r="P26" s="308">
        <v>1</v>
      </c>
      <c r="Q26" s="308">
        <v>337064</v>
      </c>
      <c r="R26" s="308">
        <f t="shared" si="6"/>
        <v>168532</v>
      </c>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s="14"/>
    </row>
    <row r="27" spans="1:54" x14ac:dyDescent="0.25">
      <c r="A27" s="1">
        <f>IF(A26&lt;'Project Information'!B$11,A26+1,"")</f>
        <v>2047</v>
      </c>
      <c r="B27" s="22">
        <f t="shared" si="5"/>
        <v>6213208</v>
      </c>
      <c r="C27" s="22">
        <f t="shared" si="4"/>
        <v>1615501</v>
      </c>
      <c r="D27" s="8">
        <f t="shared" si="7"/>
        <v>-4597707</v>
      </c>
      <c r="E27" s="353"/>
      <c r="G27" s="13"/>
      <c r="H27"/>
      <c r="I27" t="s">
        <v>493</v>
      </c>
      <c r="J27">
        <v>1</v>
      </c>
      <c r="K27" s="308">
        <v>336708</v>
      </c>
      <c r="L27" s="315" t="s">
        <v>493</v>
      </c>
      <c r="M27" s="308">
        <v>1</v>
      </c>
      <c r="N27" s="309">
        <v>448944</v>
      </c>
      <c r="O27" s="308" t="s">
        <v>493</v>
      </c>
      <c r="P27" s="308">
        <v>1</v>
      </c>
      <c r="Q27" s="308">
        <v>516286</v>
      </c>
      <c r="R27" s="308">
        <f t="shared" si="6"/>
        <v>258143</v>
      </c>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s="14"/>
    </row>
    <row r="28" spans="1:54" x14ac:dyDescent="0.25">
      <c r="A28" s="1">
        <f>IF(A27&lt;'Project Information'!B$11,A27+1,"")</f>
        <v>2048</v>
      </c>
      <c r="B28" s="22">
        <f>$Q$29</f>
        <v>7145190</v>
      </c>
      <c r="C28" s="22">
        <f>$R$29</f>
        <v>3572595</v>
      </c>
      <c r="D28" s="8">
        <f t="shared" si="7"/>
        <v>-3572595</v>
      </c>
      <c r="E28" s="353"/>
      <c r="G28" s="13"/>
      <c r="H28"/>
      <c r="I28" s="249" t="s">
        <v>494</v>
      </c>
      <c r="J28" s="249">
        <v>1</v>
      </c>
      <c r="K28" s="323">
        <v>464993</v>
      </c>
      <c r="L28" s="324" t="s">
        <v>494</v>
      </c>
      <c r="M28" s="323">
        <v>1</v>
      </c>
      <c r="N28" s="325">
        <v>557992</v>
      </c>
      <c r="O28" s="323" t="s">
        <v>494</v>
      </c>
      <c r="P28" s="323">
        <v>1</v>
      </c>
      <c r="Q28" s="323">
        <v>641691</v>
      </c>
      <c r="R28" s="323">
        <f t="shared" si="6"/>
        <v>320845.5</v>
      </c>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s="14"/>
    </row>
    <row r="29" spans="1:54" x14ac:dyDescent="0.25">
      <c r="A29" s="1">
        <f>IF(A28&lt;'Project Information'!B$11,A28+1,"")</f>
        <v>2049</v>
      </c>
      <c r="B29" s="22">
        <f t="shared" ref="B29:B32" si="8">$Q$29</f>
        <v>7145190</v>
      </c>
      <c r="C29" s="22">
        <f>$R$29</f>
        <v>3572595</v>
      </c>
      <c r="D29" s="8">
        <f t="shared" si="7"/>
        <v>-3572595</v>
      </c>
      <c r="E29" s="353"/>
      <c r="G29" s="13"/>
      <c r="H29"/>
      <c r="I29"/>
      <c r="J29" s="310" t="s">
        <v>19</v>
      </c>
      <c r="K29" s="311">
        <f>SUM(K22:K28)</f>
        <v>4823309</v>
      </c>
      <c r="L29" s="313"/>
      <c r="M29" s="311" t="s">
        <v>19</v>
      </c>
      <c r="N29" s="312">
        <v>6213208</v>
      </c>
      <c r="O29" s="311"/>
      <c r="P29" s="311" t="s">
        <v>19</v>
      </c>
      <c r="Q29" s="311">
        <v>7145190</v>
      </c>
      <c r="R29" s="311">
        <f t="shared" si="6"/>
        <v>3572595</v>
      </c>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s="14"/>
    </row>
    <row r="30" spans="1:54" x14ac:dyDescent="0.25">
      <c r="A30" s="1">
        <f>IF(A29&lt;'Project Information'!B$11,A29+1,"")</f>
        <v>2050</v>
      </c>
      <c r="B30" s="22">
        <f t="shared" si="8"/>
        <v>7145190</v>
      </c>
      <c r="C30" s="22">
        <f>$R$29</f>
        <v>3572595</v>
      </c>
      <c r="D30" s="8">
        <f t="shared" si="7"/>
        <v>-3572595</v>
      </c>
      <c r="E30" s="353"/>
      <c r="G30" s="13"/>
      <c r="H30"/>
      <c r="I30"/>
      <c r="J30" s="310"/>
      <c r="K30" s="311"/>
      <c r="L30" s="311"/>
      <c r="M30" s="311"/>
      <c r="N30" s="311"/>
      <c r="O30" s="311"/>
      <c r="P30" s="311"/>
      <c r="Q30" s="311"/>
      <c r="R30" s="311"/>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s="14"/>
    </row>
    <row r="31" spans="1:54" x14ac:dyDescent="0.25">
      <c r="A31" s="1">
        <f>IF(A30&lt;'Project Information'!B$11,A30+1,"")</f>
        <v>2051</v>
      </c>
      <c r="B31" s="22">
        <f t="shared" si="8"/>
        <v>7145190</v>
      </c>
      <c r="C31" s="22">
        <f>$R$29</f>
        <v>3572595</v>
      </c>
      <c r="D31" s="8">
        <f t="shared" si="7"/>
        <v>-3572595</v>
      </c>
      <c r="E31" s="353"/>
      <c r="G31" s="13"/>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s="14"/>
    </row>
    <row r="32" spans="1:54" x14ac:dyDescent="0.25">
      <c r="A32" s="1">
        <f>IF(A31&lt;'Project Information'!B$11,A31+1,"")</f>
        <v>2052</v>
      </c>
      <c r="B32" s="22">
        <f t="shared" si="8"/>
        <v>7145190</v>
      </c>
      <c r="C32" s="22">
        <f>$R$29</f>
        <v>3572595</v>
      </c>
      <c r="D32" s="8">
        <f t="shared" si="7"/>
        <v>-3572595</v>
      </c>
      <c r="E32" s="353"/>
      <c r="G32" s="13"/>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s="14"/>
    </row>
    <row r="33" spans="1:54" x14ac:dyDescent="0.25">
      <c r="A33" s="1" t="str">
        <f>IF(A32&lt;'Project Information'!B$11,A32+1,"")</f>
        <v/>
      </c>
      <c r="B33" s="22">
        <v>0</v>
      </c>
      <c r="C33" s="22">
        <v>0</v>
      </c>
      <c r="D33" s="8">
        <f t="shared" ref="D33:D37" si="9">C33-B33</f>
        <v>0</v>
      </c>
      <c r="G33" s="13"/>
      <c r="H33" s="256"/>
      <c r="I33" s="256"/>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s="14"/>
    </row>
    <row r="34" spans="1:54" x14ac:dyDescent="0.25">
      <c r="A34" s="1" t="str">
        <f>IF(A33&lt;'Project Information'!B$11,A33+1,"")</f>
        <v/>
      </c>
      <c r="B34" s="22">
        <v>0</v>
      </c>
      <c r="C34" s="22">
        <v>0</v>
      </c>
      <c r="D34" s="8">
        <f t="shared" si="9"/>
        <v>0</v>
      </c>
      <c r="G34" s="13"/>
      <c r="H34" s="259"/>
      <c r="I34" s="328"/>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s="14"/>
    </row>
    <row r="35" spans="1:54" x14ac:dyDescent="0.25">
      <c r="A35" s="1" t="str">
        <f>IF(A34&lt;'Project Information'!B$11,A34+1,"")</f>
        <v/>
      </c>
      <c r="B35" s="22">
        <v>0</v>
      </c>
      <c r="C35" s="22">
        <v>0</v>
      </c>
      <c r="D35" s="8">
        <f t="shared" si="9"/>
        <v>0</v>
      </c>
      <c r="G35" s="13"/>
      <c r="H35" s="259"/>
      <c r="I35" s="328"/>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s="14"/>
    </row>
    <row r="36" spans="1:54" x14ac:dyDescent="0.25">
      <c r="A36" s="1" t="str">
        <f>IF(A35&lt;'Project Information'!B$11,A35+1,"")</f>
        <v/>
      </c>
      <c r="B36" s="22">
        <v>0</v>
      </c>
      <c r="C36" s="22">
        <v>0</v>
      </c>
      <c r="D36" s="8">
        <f t="shared" si="9"/>
        <v>0</v>
      </c>
      <c r="G36" s="13"/>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s="14"/>
    </row>
    <row r="37" spans="1:54" x14ac:dyDescent="0.25">
      <c r="A37" s="1" t="str">
        <f>IF(A36&lt;'Project Information'!B$11,A36+1,"")</f>
        <v/>
      </c>
      <c r="B37" s="22">
        <v>0</v>
      </c>
      <c r="C37" s="22">
        <v>0</v>
      </c>
      <c r="D37" s="8">
        <f t="shared" si="9"/>
        <v>0</v>
      </c>
      <c r="G37" s="13"/>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s="14"/>
    </row>
    <row r="38" spans="1:54" x14ac:dyDescent="0.25">
      <c r="A38" s="31"/>
      <c r="B38" s="32"/>
      <c r="C38" s="32"/>
      <c r="D38" s="33"/>
      <c r="G38" s="13"/>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s="14"/>
    </row>
    <row r="39" spans="1:54" x14ac:dyDescent="0.25">
      <c r="B39" s="28"/>
      <c r="C39" s="28"/>
      <c r="D39" s="29"/>
      <c r="G39" s="13"/>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s="14"/>
    </row>
    <row r="40" spans="1:54" x14ac:dyDescent="0.25">
      <c r="B40" s="28"/>
      <c r="C40" s="28"/>
      <c r="D40" s="29"/>
      <c r="G40" s="13"/>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s="14"/>
    </row>
    <row r="41" spans="1:54" x14ac:dyDescent="0.25">
      <c r="B41" s="28"/>
      <c r="C41" s="28"/>
      <c r="D41" s="29"/>
      <c r="G41" s="13"/>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s="14"/>
    </row>
    <row r="42" spans="1:54" x14ac:dyDescent="0.25">
      <c r="B42" s="28"/>
      <c r="C42" s="28"/>
      <c r="D42" s="29"/>
      <c r="G42" s="13"/>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s="14"/>
    </row>
    <row r="43" spans="1:54" x14ac:dyDescent="0.25">
      <c r="G43" s="1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s="14"/>
    </row>
    <row r="44" spans="1:54" x14ac:dyDescent="0.25">
      <c r="G44" s="13"/>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s="14"/>
    </row>
    <row r="45" spans="1:54" x14ac:dyDescent="0.25">
      <c r="G45" s="13"/>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s="14"/>
    </row>
    <row r="46" spans="1:54" x14ac:dyDescent="0.25">
      <c r="G46" s="13"/>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s="14"/>
    </row>
    <row r="47" spans="1:54" x14ac:dyDescent="0.25">
      <c r="G47" s="13"/>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s="14"/>
    </row>
    <row r="48" spans="1:54" x14ac:dyDescent="0.25">
      <c r="G48" s="13"/>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s="14"/>
    </row>
    <row r="49" spans="7:54" x14ac:dyDescent="0.25">
      <c r="G49" s="13"/>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s="14"/>
    </row>
    <row r="50" spans="7:54" x14ac:dyDescent="0.25">
      <c r="G50" s="13"/>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s="14"/>
    </row>
    <row r="51" spans="7:54" x14ac:dyDescent="0.25">
      <c r="G51" s="13"/>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s="14"/>
    </row>
    <row r="52" spans="7:54" x14ac:dyDescent="0.25">
      <c r="G52" s="13"/>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s="14"/>
    </row>
    <row r="53" spans="7:54" x14ac:dyDescent="0.25">
      <c r="G53" s="1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s="14"/>
    </row>
    <row r="54" spans="7:54" x14ac:dyDescent="0.25">
      <c r="G54" s="13"/>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s="14"/>
    </row>
    <row r="55" spans="7:54" x14ac:dyDescent="0.25">
      <c r="G55" s="13"/>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s="14"/>
    </row>
    <row r="56" spans="7:54" x14ac:dyDescent="0.25">
      <c r="G56" s="13"/>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s="14"/>
    </row>
    <row r="57" spans="7:54" x14ac:dyDescent="0.25">
      <c r="G57" s="13"/>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s="14"/>
    </row>
    <row r="58" spans="7:54" x14ac:dyDescent="0.25">
      <c r="G58" s="13"/>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s="14"/>
    </row>
    <row r="59" spans="7:54" x14ac:dyDescent="0.25">
      <c r="G59" s="13"/>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s="14"/>
    </row>
    <row r="60" spans="7:54" x14ac:dyDescent="0.25">
      <c r="G60" s="13"/>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s="14"/>
    </row>
    <row r="61" spans="7:54" x14ac:dyDescent="0.25">
      <c r="G61" s="13"/>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s="14"/>
    </row>
    <row r="62" spans="7:54" x14ac:dyDescent="0.25">
      <c r="G62" s="13"/>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s="14"/>
    </row>
    <row r="63" spans="7:54" x14ac:dyDescent="0.25">
      <c r="G63" s="1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s="14"/>
    </row>
    <row r="64" spans="7:54" x14ac:dyDescent="0.25">
      <c r="G64" s="13"/>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s="14"/>
    </row>
    <row r="65" spans="7:54" x14ac:dyDescent="0.25">
      <c r="G65" s="13"/>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s="14"/>
    </row>
    <row r="66" spans="7:54" x14ac:dyDescent="0.25">
      <c r="G66" s="13"/>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s="14"/>
    </row>
    <row r="67" spans="7:54" x14ac:dyDescent="0.25">
      <c r="G67" s="13"/>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s="14"/>
    </row>
    <row r="68" spans="7:54" x14ac:dyDescent="0.25">
      <c r="G68" s="13"/>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s="14"/>
    </row>
    <row r="69" spans="7:54" x14ac:dyDescent="0.25">
      <c r="G69" s="13"/>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s="14"/>
    </row>
    <row r="70" spans="7:54" x14ac:dyDescent="0.25">
      <c r="G70" s="13"/>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s="14"/>
    </row>
    <row r="71" spans="7:54" x14ac:dyDescent="0.25">
      <c r="G71" s="13"/>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s="14"/>
    </row>
    <row r="72" spans="7:54" x14ac:dyDescent="0.25">
      <c r="G72" s="13"/>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s="14"/>
    </row>
    <row r="73" spans="7:54" x14ac:dyDescent="0.25">
      <c r="G73" s="1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s="14"/>
    </row>
    <row r="74" spans="7:54" x14ac:dyDescent="0.25">
      <c r="G74" s="13"/>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s="14"/>
    </row>
    <row r="75" spans="7:54" x14ac:dyDescent="0.25">
      <c r="G75" s="13"/>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s="14"/>
    </row>
    <row r="76" spans="7:54" x14ac:dyDescent="0.25">
      <c r="G76" s="13"/>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s="14"/>
    </row>
    <row r="77" spans="7:54" x14ac:dyDescent="0.25">
      <c r="G77" s="13"/>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s="14"/>
    </row>
    <row r="78" spans="7:54" x14ac:dyDescent="0.25">
      <c r="G78" s="13"/>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s="14"/>
    </row>
    <row r="79" spans="7:54" x14ac:dyDescent="0.25">
      <c r="G79" s="13"/>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s="14"/>
    </row>
    <row r="80" spans="7:54" x14ac:dyDescent="0.25">
      <c r="G80" s="13"/>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s="14"/>
    </row>
    <row r="81" spans="7:54" x14ac:dyDescent="0.25">
      <c r="G81" s="13"/>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s="14"/>
    </row>
    <row r="82" spans="7:54" x14ac:dyDescent="0.25">
      <c r="G82" s="13"/>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s="14"/>
    </row>
    <row r="83" spans="7:54" x14ac:dyDescent="0.25">
      <c r="G83" s="1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s="14"/>
    </row>
    <row r="84" spans="7:54" x14ac:dyDescent="0.25">
      <c r="G84" s="13"/>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s="14"/>
    </row>
    <row r="85" spans="7:54" x14ac:dyDescent="0.25">
      <c r="G85" s="13"/>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s="14"/>
    </row>
    <row r="86" spans="7:54" x14ac:dyDescent="0.25">
      <c r="G86" s="13"/>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s="14"/>
    </row>
    <row r="87" spans="7:54" x14ac:dyDescent="0.25">
      <c r="G87" s="13"/>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s="14"/>
    </row>
    <row r="88" spans="7:54" x14ac:dyDescent="0.25">
      <c r="G88" s="13"/>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s="14"/>
    </row>
    <row r="89" spans="7:54" x14ac:dyDescent="0.25">
      <c r="G89" s="13"/>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s="14"/>
    </row>
    <row r="90" spans="7:54" x14ac:dyDescent="0.25">
      <c r="G90" s="13"/>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s="14"/>
    </row>
    <row r="91" spans="7:54" x14ac:dyDescent="0.25">
      <c r="G91" s="13"/>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s="14"/>
    </row>
    <row r="92" spans="7:54" x14ac:dyDescent="0.25">
      <c r="G92" s="13"/>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s="14"/>
    </row>
    <row r="93" spans="7:54" x14ac:dyDescent="0.25">
      <c r="G93" s="1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s="14"/>
    </row>
    <row r="94" spans="7:54" x14ac:dyDescent="0.25">
      <c r="G94" s="13"/>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s="14"/>
    </row>
    <row r="95" spans="7:54" x14ac:dyDescent="0.25">
      <c r="G95" s="13"/>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s="14"/>
    </row>
    <row r="96" spans="7:54" x14ac:dyDescent="0.25">
      <c r="G96" s="13"/>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s="14"/>
    </row>
    <row r="97" spans="7:54" ht="15.75" thickBot="1" x14ac:dyDescent="0.3">
      <c r="G97" s="15"/>
      <c r="H97" s="16"/>
      <c r="I97" s="16"/>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c r="AT97" s="16"/>
      <c r="AU97" s="16"/>
      <c r="AV97" s="16"/>
      <c r="AW97" s="16"/>
      <c r="AX97" s="16"/>
      <c r="AY97" s="16"/>
      <c r="AZ97" s="16"/>
      <c r="BA97" s="16"/>
      <c r="BB97" s="17"/>
    </row>
  </sheetData>
  <mergeCells count="3">
    <mergeCell ref="I9:K9"/>
    <mergeCell ref="L9:N9"/>
    <mergeCell ref="O9:Q9"/>
  </mergeCells>
  <conditionalFormatting sqref="C8:C32 B8:B37">
    <cfRule type="expression" dxfId="18" priority="3">
      <formula>A8=""</formula>
    </cfRule>
  </conditionalFormatting>
  <conditionalFormatting sqref="C33:C37">
    <cfRule type="expression" dxfId="17" priority="2">
      <formula>A33=""</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3ED40-5564-4F69-B498-62F7E290D6B9}">
  <sheetPr>
    <tabColor theme="9" tint="0.39997558519241921"/>
  </sheetPr>
  <dimension ref="A1:BC111"/>
  <sheetViews>
    <sheetView topLeftCell="D25" workbookViewId="0">
      <selection activeCell="U48" sqref="U48"/>
    </sheetView>
  </sheetViews>
  <sheetFormatPr defaultColWidth="9.140625" defaultRowHeight="15" x14ac:dyDescent="0.25"/>
  <cols>
    <col min="1" max="1" width="38.42578125" style="5" customWidth="1"/>
    <col min="2" max="2" width="25.28515625" style="5" customWidth="1"/>
    <col min="3" max="3" width="32.5703125" style="5" customWidth="1"/>
    <col min="4" max="4" width="22.7109375" style="5" customWidth="1"/>
    <col min="5" max="9" width="9.140625" style="5"/>
    <col min="10" max="10" width="10.42578125" style="5" customWidth="1"/>
    <col min="11" max="11" width="9.140625" style="5"/>
    <col min="12" max="12" width="13.28515625" style="5" customWidth="1"/>
    <col min="13" max="13" width="14" style="5" customWidth="1"/>
    <col min="14" max="14" width="11" style="5" customWidth="1"/>
    <col min="15" max="15" width="11.42578125" style="5" customWidth="1"/>
    <col min="16" max="18" width="9.140625" style="5"/>
    <col min="19" max="19" width="15.85546875" style="5" customWidth="1"/>
    <col min="20" max="20" width="17.42578125" style="5" customWidth="1"/>
    <col min="21" max="21" width="15.5703125" style="5" customWidth="1"/>
    <col min="22" max="22" width="14.42578125" style="5" customWidth="1"/>
    <col min="23" max="23" width="15.140625" style="5" customWidth="1"/>
    <col min="24" max="24" width="16.85546875" style="5" customWidth="1"/>
    <col min="25" max="25" width="17" style="5" customWidth="1"/>
    <col min="26" max="26" width="16.7109375" style="5" customWidth="1"/>
    <col min="27" max="16384" width="9.140625" style="5"/>
  </cols>
  <sheetData>
    <row r="1" spans="1:9" ht="20.25" thickBot="1" x14ac:dyDescent="0.35">
      <c r="A1" s="93" t="s">
        <v>8</v>
      </c>
    </row>
    <row r="2" spans="1:9" ht="15.75" thickTop="1" x14ac:dyDescent="0.25">
      <c r="A2" s="148" t="s">
        <v>238</v>
      </c>
      <c r="B2" s="148"/>
      <c r="C2" s="148"/>
      <c r="D2" s="148"/>
      <c r="E2" s="148"/>
      <c r="F2" s="148"/>
    </row>
    <row r="3" spans="1:9" x14ac:dyDescent="0.25">
      <c r="A3" s="5" t="s">
        <v>198</v>
      </c>
    </row>
    <row r="4" spans="1:9" x14ac:dyDescent="0.25">
      <c r="A4" s="149" t="s">
        <v>257</v>
      </c>
      <c r="B4" s="148"/>
      <c r="C4" s="148"/>
      <c r="D4" s="148"/>
      <c r="E4" s="148"/>
      <c r="F4" s="148"/>
      <c r="G4" s="148"/>
      <c r="H4" s="148"/>
      <c r="I4" s="148"/>
    </row>
    <row r="5" spans="1:9" x14ac:dyDescent="0.25">
      <c r="A5" s="38" t="s">
        <v>198</v>
      </c>
    </row>
    <row r="6" spans="1:9" x14ac:dyDescent="0.25">
      <c r="A6" s="94" t="s">
        <v>239</v>
      </c>
    </row>
    <row r="7" spans="1:9" x14ac:dyDescent="0.25">
      <c r="A7" s="113" t="s">
        <v>20</v>
      </c>
      <c r="B7" s="113" t="str">
        <f>'Parameter Values'!B6</f>
        <v>Monetized Value (2022 $)</v>
      </c>
    </row>
    <row r="8" spans="1:9" x14ac:dyDescent="0.25">
      <c r="A8" s="35" t="s">
        <v>21</v>
      </c>
      <c r="B8" s="40">
        <f>'Parameter Values'!B7</f>
        <v>5000</v>
      </c>
    </row>
    <row r="9" spans="1:9" x14ac:dyDescent="0.25">
      <c r="A9" s="35" t="s">
        <v>22</v>
      </c>
      <c r="B9" s="40">
        <f>'Parameter Values'!B8</f>
        <v>111700</v>
      </c>
    </row>
    <row r="10" spans="1:9" x14ac:dyDescent="0.25">
      <c r="A10" s="35" t="s">
        <v>23</v>
      </c>
      <c r="B10" s="40">
        <f>'Parameter Values'!B9</f>
        <v>233800</v>
      </c>
    </row>
    <row r="11" spans="1:9" x14ac:dyDescent="0.25">
      <c r="A11" s="35" t="s">
        <v>24</v>
      </c>
      <c r="B11" s="40">
        <f>'Parameter Values'!B10</f>
        <v>1188200</v>
      </c>
    </row>
    <row r="12" spans="1:9" x14ac:dyDescent="0.25">
      <c r="A12" s="35" t="s">
        <v>25</v>
      </c>
      <c r="B12" s="40">
        <v>12500000</v>
      </c>
    </row>
    <row r="13" spans="1:9" x14ac:dyDescent="0.25">
      <c r="A13" s="35" t="s">
        <v>26</v>
      </c>
      <c r="B13" s="40">
        <f>'Parameter Values'!B12</f>
        <v>217600</v>
      </c>
    </row>
    <row r="14" spans="1:9" x14ac:dyDescent="0.25">
      <c r="A14" s="125" t="s">
        <v>198</v>
      </c>
      <c r="B14" s="126"/>
    </row>
    <row r="15" spans="1:9" x14ac:dyDescent="0.25">
      <c r="A15" s="35" t="s">
        <v>27</v>
      </c>
    </row>
    <row r="16" spans="1:9" x14ac:dyDescent="0.25">
      <c r="A16" s="35" t="s">
        <v>260</v>
      </c>
      <c r="B16" s="40">
        <f>'Parameter Values'!B15</f>
        <v>9100</v>
      </c>
    </row>
    <row r="17" spans="1:55" x14ac:dyDescent="0.25">
      <c r="A17" s="35" t="s">
        <v>28</v>
      </c>
      <c r="B17" s="40">
        <f>'Parameter Values'!B16</f>
        <v>313000</v>
      </c>
    </row>
    <row r="18" spans="1:55" x14ac:dyDescent="0.25">
      <c r="A18" s="35" t="s">
        <v>29</v>
      </c>
      <c r="B18" s="40">
        <f>'Parameter Values'!B17</f>
        <v>14022900</v>
      </c>
    </row>
    <row r="19" spans="1:55" x14ac:dyDescent="0.25">
      <c r="A19" s="5" t="s">
        <v>198</v>
      </c>
    </row>
    <row r="20" spans="1:55" ht="15.75" thickBot="1" x14ac:dyDescent="0.3">
      <c r="A20" s="94" t="s">
        <v>240</v>
      </c>
    </row>
    <row r="21" spans="1:55" x14ac:dyDescent="0.25">
      <c r="A21" s="104" t="s">
        <v>4</v>
      </c>
      <c r="B21" s="105" t="s">
        <v>171</v>
      </c>
      <c r="C21" s="105" t="s">
        <v>172</v>
      </c>
      <c r="D21" s="111" t="s">
        <v>166</v>
      </c>
      <c r="G21" s="214" t="s">
        <v>410</v>
      </c>
      <c r="H21" s="11"/>
      <c r="I21" s="11"/>
      <c r="J21" s="11"/>
      <c r="K21" s="11"/>
      <c r="L21" s="11"/>
      <c r="M21" s="489" t="s">
        <v>497</v>
      </c>
      <c r="N21" s="489"/>
      <c r="O21" s="489"/>
      <c r="P21" s="489"/>
      <c r="Q21" s="489"/>
      <c r="R21" s="489"/>
      <c r="S21" s="489"/>
      <c r="T21" s="489"/>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2"/>
    </row>
    <row r="22" spans="1:55" ht="30" x14ac:dyDescent="0.25">
      <c r="A22" s="6">
        <f>'Project Information'!$B$9</f>
        <v>2028</v>
      </c>
      <c r="B22" s="22">
        <f>$U$26*$U$48</f>
        <v>109166.64693548385</v>
      </c>
      <c r="C22" s="22">
        <f>$Z$33*$U$48</f>
        <v>92791.649895161274</v>
      </c>
      <c r="D22" s="26">
        <f>B22-C22</f>
        <v>16374.997040322574</v>
      </c>
      <c r="G22" s="13"/>
      <c r="H22" s="482" t="s">
        <v>398</v>
      </c>
      <c r="I22" s="483"/>
      <c r="J22" s="482" t="s">
        <v>396</v>
      </c>
      <c r="K22" s="483"/>
      <c r="L22" s="239" t="s">
        <v>385</v>
      </c>
      <c r="M22" s="484" t="s">
        <v>390</v>
      </c>
      <c r="N22" s="478" t="s">
        <v>391</v>
      </c>
      <c r="O22" s="478" t="s">
        <v>395</v>
      </c>
      <c r="P22" s="478" t="s">
        <v>400</v>
      </c>
      <c r="Q22" s="480" t="s">
        <v>421</v>
      </c>
      <c r="R22" s="480" t="s">
        <v>508</v>
      </c>
      <c r="S22" s="480" t="s">
        <v>414</v>
      </c>
      <c r="T22" s="480" t="s">
        <v>415</v>
      </c>
      <c r="U22" s="480" t="s">
        <v>475</v>
      </c>
      <c r="V22"/>
      <c r="W22"/>
      <c r="X22"/>
      <c r="Y22"/>
      <c r="Z22"/>
      <c r="AA22"/>
      <c r="AB22"/>
      <c r="AC22"/>
      <c r="AD22"/>
      <c r="AE22"/>
      <c r="AF22"/>
      <c r="AG22"/>
      <c r="AH22"/>
      <c r="AI22"/>
      <c r="AJ22"/>
      <c r="AK22"/>
      <c r="AL22"/>
      <c r="AM22"/>
      <c r="AN22"/>
      <c r="AO22"/>
      <c r="AP22"/>
      <c r="AQ22"/>
      <c r="AR22"/>
      <c r="AS22"/>
      <c r="AT22"/>
      <c r="AU22"/>
      <c r="AV22"/>
      <c r="AW22"/>
      <c r="AX22"/>
      <c r="AY22"/>
      <c r="AZ22"/>
      <c r="BA22"/>
      <c r="BB22" s="14"/>
    </row>
    <row r="23" spans="1:55" ht="15.75" thickBot="1" x14ac:dyDescent="0.3">
      <c r="A23" s="1">
        <f>IF(A22&lt;'Project Information'!B$11,A22+1,"")</f>
        <v>2029</v>
      </c>
      <c r="B23" s="22">
        <f t="shared" ref="B23:B46" si="0">$U$26*$U$48</f>
        <v>109166.64693548385</v>
      </c>
      <c r="C23" s="22">
        <f t="shared" ref="C23:C46" si="1">$Z$33*$U$48</f>
        <v>92791.649895161274</v>
      </c>
      <c r="D23" s="8">
        <f t="shared" ref="D23:D51" si="2">B23-C23</f>
        <v>16374.997040322574</v>
      </c>
      <c r="G23" s="15"/>
      <c r="H23" s="218" t="s">
        <v>386</v>
      </c>
      <c r="I23" s="219" t="s">
        <v>387</v>
      </c>
      <c r="J23" s="218" t="s">
        <v>386</v>
      </c>
      <c r="K23" s="226" t="s">
        <v>388</v>
      </c>
      <c r="L23" s="230" t="s">
        <v>389</v>
      </c>
      <c r="M23" s="485"/>
      <c r="N23" s="479"/>
      <c r="O23" s="479"/>
      <c r="P23" s="479"/>
      <c r="Q23" s="481"/>
      <c r="R23" s="481"/>
      <c r="S23" s="481"/>
      <c r="T23" s="481"/>
      <c r="U23" s="481"/>
      <c r="V23"/>
      <c r="W23"/>
      <c r="X23"/>
      <c r="Y23"/>
      <c r="Z23"/>
      <c r="AA23"/>
      <c r="AB23"/>
      <c r="AC23"/>
      <c r="AD23"/>
      <c r="AE23"/>
      <c r="AF23"/>
      <c r="AG23"/>
      <c r="AH23"/>
      <c r="AI23"/>
      <c r="AJ23"/>
      <c r="AK23"/>
      <c r="AL23"/>
      <c r="AM23"/>
      <c r="AN23"/>
      <c r="AO23"/>
      <c r="AP23"/>
      <c r="AQ23"/>
      <c r="AR23"/>
      <c r="AS23"/>
      <c r="AT23"/>
      <c r="AU23"/>
      <c r="AV23"/>
      <c r="AW23"/>
      <c r="AX23"/>
      <c r="AY23"/>
      <c r="AZ23"/>
      <c r="BA23"/>
      <c r="BB23" s="14"/>
    </row>
    <row r="24" spans="1:55" x14ac:dyDescent="0.25">
      <c r="A24" s="1">
        <f>IF(A23&lt;'Project Information'!B$11,A23+1,"")</f>
        <v>2030</v>
      </c>
      <c r="B24" s="22">
        <f t="shared" si="0"/>
        <v>109166.64693548385</v>
      </c>
      <c r="C24" s="22">
        <f t="shared" si="1"/>
        <v>92791.649895161274</v>
      </c>
      <c r="D24" s="8">
        <f t="shared" si="2"/>
        <v>16374.997040322574</v>
      </c>
      <c r="G24" s="13" t="s">
        <v>392</v>
      </c>
      <c r="H24" s="220">
        <v>80</v>
      </c>
      <c r="I24" s="221">
        <v>27</v>
      </c>
      <c r="J24" s="227">
        <v>0</v>
      </c>
      <c r="K24" s="240">
        <v>6.4</v>
      </c>
      <c r="L24" s="231">
        <v>2</v>
      </c>
      <c r="M24" s="220">
        <f>SUM(H24:L24)</f>
        <v>115.4</v>
      </c>
      <c r="N24" s="242">
        <v>0.6</v>
      </c>
      <c r="O24" s="234">
        <f>N24*365</f>
        <v>219</v>
      </c>
      <c r="P24" s="234">
        <f>'Parameter Values'!$B$248</f>
        <v>40.5</v>
      </c>
      <c r="Q24" s="235">
        <f>O24*P24</f>
        <v>8869.5</v>
      </c>
      <c r="R24" s="235"/>
      <c r="S24" s="235"/>
      <c r="T24" s="235"/>
      <c r="U24" s="235"/>
      <c r="V24"/>
      <c r="W24"/>
      <c r="X24"/>
      <c r="Y24"/>
      <c r="Z24"/>
      <c r="AA24"/>
      <c r="AB24"/>
      <c r="AC24"/>
      <c r="AD24"/>
      <c r="AE24"/>
      <c r="AF24"/>
      <c r="AG24"/>
      <c r="AH24"/>
      <c r="AI24"/>
      <c r="AJ24"/>
      <c r="AK24"/>
      <c r="AL24"/>
      <c r="AM24"/>
      <c r="AN24"/>
      <c r="AO24"/>
      <c r="AP24"/>
      <c r="AQ24"/>
      <c r="AR24"/>
      <c r="AS24"/>
      <c r="AT24"/>
      <c r="AU24"/>
      <c r="AV24"/>
      <c r="AW24"/>
      <c r="AX24"/>
      <c r="AY24"/>
      <c r="AZ24"/>
      <c r="BA24"/>
      <c r="BB24" s="14"/>
    </row>
    <row r="25" spans="1:55" x14ac:dyDescent="0.25">
      <c r="A25" s="1">
        <f>IF(A24&lt;'Project Information'!B$11,A24+1,"")</f>
        <v>2031</v>
      </c>
      <c r="B25" s="22">
        <f t="shared" si="0"/>
        <v>109166.64693548385</v>
      </c>
      <c r="C25" s="22">
        <f t="shared" si="1"/>
        <v>92791.649895161274</v>
      </c>
      <c r="D25" s="8">
        <f>B30-C30</f>
        <v>16374.997040322574</v>
      </c>
      <c r="G25" s="216" t="s">
        <v>393</v>
      </c>
      <c r="H25" s="222">
        <v>80</v>
      </c>
      <c r="I25" s="223">
        <v>27</v>
      </c>
      <c r="J25" s="228">
        <v>0</v>
      </c>
      <c r="K25" s="241">
        <v>6.4</v>
      </c>
      <c r="L25" s="232">
        <v>2</v>
      </c>
      <c r="M25" s="222">
        <f>SUM(H25:L25)</f>
        <v>115.4</v>
      </c>
      <c r="N25" s="243">
        <v>0.6</v>
      </c>
      <c r="O25" s="217">
        <f t="shared" ref="O25" si="3">N25*365</f>
        <v>219</v>
      </c>
      <c r="P25" s="217">
        <f>'Parameter Values'!$B$248</f>
        <v>40.5</v>
      </c>
      <c r="Q25" s="236">
        <f t="shared" ref="Q25" si="4">O25*P25</f>
        <v>8869.5</v>
      </c>
      <c r="R25" s="236"/>
      <c r="S25" s="236"/>
      <c r="T25" s="236"/>
      <c r="U25" s="236"/>
      <c r="V25"/>
      <c r="W25"/>
      <c r="X25"/>
      <c r="Y25"/>
      <c r="Z25"/>
      <c r="AA25"/>
      <c r="AB25"/>
      <c r="AC25"/>
      <c r="AD25"/>
      <c r="AE25"/>
      <c r="AF25"/>
      <c r="AG25"/>
      <c r="AH25"/>
      <c r="AI25"/>
      <c r="AJ25"/>
      <c r="AK25"/>
      <c r="AL25"/>
      <c r="AM25"/>
      <c r="AN25"/>
      <c r="AO25"/>
      <c r="AP25"/>
      <c r="AQ25"/>
      <c r="AR25"/>
      <c r="AS25"/>
      <c r="AT25"/>
      <c r="AU25"/>
      <c r="AV25"/>
      <c r="AW25"/>
      <c r="AX25"/>
      <c r="AY25"/>
      <c r="AZ25"/>
      <c r="BA25"/>
      <c r="BB25" s="14"/>
    </row>
    <row r="26" spans="1:55" x14ac:dyDescent="0.25">
      <c r="A26" s="1">
        <f>IF(A25&lt;'Project Information'!B$11,A25+1,"")</f>
        <v>2032</v>
      </c>
      <c r="B26" s="22">
        <f t="shared" si="0"/>
        <v>109166.64693548385</v>
      </c>
      <c r="C26" s="22">
        <f t="shared" si="1"/>
        <v>92791.649895161274</v>
      </c>
      <c r="D26" s="8">
        <f t="shared" si="2"/>
        <v>16374.997040322574</v>
      </c>
      <c r="G26" s="215" t="s">
        <v>394</v>
      </c>
      <c r="H26" s="224">
        <f>SUM(H24:H25)</f>
        <v>160</v>
      </c>
      <c r="I26" s="225">
        <f t="shared" ref="I26:Q26" si="5">SUM(I24:I25)</f>
        <v>54</v>
      </c>
      <c r="J26" s="229">
        <f t="shared" si="5"/>
        <v>0</v>
      </c>
      <c r="K26" s="245">
        <f t="shared" si="5"/>
        <v>12.8</v>
      </c>
      <c r="L26" s="233">
        <f t="shared" si="5"/>
        <v>4</v>
      </c>
      <c r="M26" s="224">
        <f t="shared" si="5"/>
        <v>230.8</v>
      </c>
      <c r="N26" s="244">
        <f t="shared" si="5"/>
        <v>1.2</v>
      </c>
      <c r="O26" s="237">
        <f t="shared" si="5"/>
        <v>438</v>
      </c>
      <c r="P26" s="237">
        <f t="shared" si="5"/>
        <v>81</v>
      </c>
      <c r="Q26" s="238">
        <f t="shared" si="5"/>
        <v>17739</v>
      </c>
      <c r="R26" s="238">
        <v>10</v>
      </c>
      <c r="S26" s="297">
        <f>5*O26</f>
        <v>2190</v>
      </c>
      <c r="T26" s="297">
        <f>(O26*P26)/R26</f>
        <v>3547.8</v>
      </c>
      <c r="U26" s="295">
        <f>U46</f>
        <v>0.43322580645161285</v>
      </c>
      <c r="V26"/>
      <c r="W26"/>
      <c r="X26"/>
      <c r="Y26"/>
      <c r="Z26"/>
      <c r="AA26"/>
      <c r="AB26"/>
      <c r="AC26"/>
      <c r="AD26"/>
      <c r="AE26"/>
      <c r="AF26"/>
      <c r="AG26"/>
      <c r="AH26"/>
      <c r="AI26"/>
      <c r="AJ26"/>
      <c r="AK26"/>
      <c r="AL26"/>
      <c r="AM26"/>
      <c r="AN26"/>
      <c r="AO26"/>
      <c r="AP26"/>
      <c r="AQ26"/>
      <c r="AR26"/>
      <c r="AS26"/>
      <c r="AT26"/>
      <c r="AU26"/>
      <c r="AV26"/>
      <c r="AW26"/>
      <c r="AX26"/>
      <c r="AY26"/>
      <c r="AZ26"/>
      <c r="BA26"/>
      <c r="BB26" s="14"/>
    </row>
    <row r="27" spans="1:55" x14ac:dyDescent="0.25">
      <c r="A27" s="1">
        <f>IF(A26&lt;'Project Information'!B$11,A26+1,"")</f>
        <v>2033</v>
      </c>
      <c r="B27" s="22">
        <f t="shared" si="0"/>
        <v>109166.64693548385</v>
      </c>
      <c r="C27" s="22">
        <f t="shared" si="1"/>
        <v>92791.649895161274</v>
      </c>
      <c r="D27" s="8">
        <f t="shared" si="2"/>
        <v>16374.997040322574</v>
      </c>
      <c r="G27" s="13"/>
      <c r="H27" s="175"/>
      <c r="I27"/>
      <c r="J27"/>
      <c r="K27" s="174"/>
      <c r="L27"/>
      <c r="M27"/>
      <c r="N27"/>
      <c r="O27"/>
      <c r="P27"/>
      <c r="Q27"/>
      <c r="R27" s="213"/>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s="14"/>
    </row>
    <row r="28" spans="1:55" x14ac:dyDescent="0.25">
      <c r="A28" s="1">
        <f>IF(A27&lt;'Project Information'!B$11,A27+1,"")</f>
        <v>2034</v>
      </c>
      <c r="B28" s="22">
        <f t="shared" si="0"/>
        <v>109166.64693548385</v>
      </c>
      <c r="C28" s="22">
        <f t="shared" si="1"/>
        <v>92791.649895161274</v>
      </c>
      <c r="D28" s="8">
        <f t="shared" si="2"/>
        <v>16374.997040322574</v>
      </c>
      <c r="G28" s="176" t="s">
        <v>409</v>
      </c>
      <c r="H28"/>
      <c r="I28"/>
      <c r="J28"/>
      <c r="K28"/>
      <c r="L28"/>
      <c r="M28" s="530" t="s">
        <v>497</v>
      </c>
      <c r="N28" s="530"/>
      <c r="O28" s="530"/>
      <c r="P28" s="530"/>
      <c r="Q28" s="530"/>
      <c r="R28" s="530"/>
      <c r="S28" s="530"/>
      <c r="T28" s="530"/>
      <c r="U28" s="530"/>
      <c r="V28" s="530"/>
      <c r="W28" s="530"/>
      <c r="X28" s="530"/>
      <c r="Y28" s="530"/>
      <c r="Z28" s="530"/>
      <c r="AA28"/>
      <c r="AB28"/>
      <c r="AC28"/>
      <c r="AD28"/>
      <c r="AE28"/>
      <c r="AF28"/>
      <c r="AG28"/>
      <c r="AH28"/>
      <c r="AI28"/>
      <c r="AJ28"/>
      <c r="AK28"/>
      <c r="AL28"/>
      <c r="AM28"/>
      <c r="AN28"/>
      <c r="AO28"/>
      <c r="AP28"/>
      <c r="AQ28"/>
      <c r="AR28"/>
      <c r="AS28"/>
      <c r="AT28"/>
      <c r="AU28"/>
      <c r="AV28"/>
      <c r="AW28"/>
      <c r="AX28"/>
      <c r="AY28"/>
      <c r="AZ28"/>
      <c r="BA28"/>
      <c r="BB28" s="14"/>
    </row>
    <row r="29" spans="1:55" ht="30" x14ac:dyDescent="0.25">
      <c r="A29" s="1">
        <f>IF(A28&lt;'Project Information'!B$11,A28+1,"")</f>
        <v>2035</v>
      </c>
      <c r="B29" s="22">
        <f t="shared" si="0"/>
        <v>109166.64693548385</v>
      </c>
      <c r="C29" s="22">
        <f t="shared" si="1"/>
        <v>92791.649895161274</v>
      </c>
      <c r="D29" s="8">
        <f t="shared" si="2"/>
        <v>16374.997040322574</v>
      </c>
      <c r="G29" s="13"/>
      <c r="H29" s="482" t="s">
        <v>407</v>
      </c>
      <c r="I29" s="483"/>
      <c r="J29" s="482" t="s">
        <v>397</v>
      </c>
      <c r="K29" s="483"/>
      <c r="L29" s="239" t="s">
        <v>385</v>
      </c>
      <c r="M29" s="484" t="s">
        <v>390</v>
      </c>
      <c r="N29" s="478" t="s">
        <v>391</v>
      </c>
      <c r="O29" s="478" t="s">
        <v>395</v>
      </c>
      <c r="P29" s="478" t="s">
        <v>400</v>
      </c>
      <c r="Q29" s="480" t="s">
        <v>421</v>
      </c>
      <c r="R29" s="480" t="s">
        <v>509</v>
      </c>
      <c r="S29" s="480" t="s">
        <v>405</v>
      </c>
      <c r="T29" s="480" t="s">
        <v>402</v>
      </c>
      <c r="U29" s="480" t="s">
        <v>423</v>
      </c>
      <c r="V29" s="476" t="s">
        <v>510</v>
      </c>
      <c r="W29" s="480" t="s">
        <v>406</v>
      </c>
      <c r="X29" s="476" t="s">
        <v>401</v>
      </c>
      <c r="Y29" s="476" t="s">
        <v>401</v>
      </c>
      <c r="Z29" s="480" t="s">
        <v>422</v>
      </c>
      <c r="AA29"/>
      <c r="AB29"/>
      <c r="AC29"/>
      <c r="AD29"/>
      <c r="AE29"/>
      <c r="AF29"/>
      <c r="AG29"/>
      <c r="AH29"/>
      <c r="AI29"/>
      <c r="AJ29"/>
      <c r="AK29"/>
      <c r="AL29"/>
      <c r="AM29"/>
      <c r="AN29"/>
      <c r="AO29"/>
      <c r="AP29"/>
      <c r="AQ29"/>
      <c r="AR29"/>
      <c r="AS29"/>
      <c r="AT29"/>
      <c r="AU29"/>
      <c r="AV29"/>
      <c r="AW29"/>
      <c r="AX29"/>
      <c r="AY29"/>
      <c r="AZ29"/>
      <c r="BA29"/>
      <c r="BB29"/>
      <c r="BC29" s="14"/>
    </row>
    <row r="30" spans="1:55" ht="15.75" thickBot="1" x14ac:dyDescent="0.3">
      <c r="A30" s="1">
        <f>IF(A29&lt;'Project Information'!B$11,A29+1,"")</f>
        <v>2036</v>
      </c>
      <c r="B30" s="22">
        <f t="shared" si="0"/>
        <v>109166.64693548385</v>
      </c>
      <c r="C30" s="22">
        <f t="shared" si="1"/>
        <v>92791.649895161274</v>
      </c>
      <c r="D30" s="8">
        <f t="shared" si="2"/>
        <v>16374.997040322574</v>
      </c>
      <c r="G30" s="15"/>
      <c r="H30" s="218" t="s">
        <v>386</v>
      </c>
      <c r="I30" s="219" t="s">
        <v>387</v>
      </c>
      <c r="J30" s="218" t="s">
        <v>386</v>
      </c>
      <c r="K30" s="226" t="s">
        <v>388</v>
      </c>
      <c r="L30" s="230" t="s">
        <v>389</v>
      </c>
      <c r="M30" s="485"/>
      <c r="N30" s="479"/>
      <c r="O30" s="479"/>
      <c r="P30" s="479"/>
      <c r="Q30" s="481"/>
      <c r="R30" s="481"/>
      <c r="S30" s="481"/>
      <c r="T30" s="481"/>
      <c r="U30" s="481"/>
      <c r="V30" s="477"/>
      <c r="W30" s="481"/>
      <c r="X30" s="477"/>
      <c r="Y30" s="477"/>
      <c r="Z30" s="481"/>
      <c r="AA30"/>
      <c r="AB30"/>
      <c r="AC30"/>
      <c r="AD30"/>
      <c r="AE30"/>
      <c r="AF30"/>
      <c r="AG30"/>
      <c r="AH30"/>
      <c r="AI30"/>
      <c r="AJ30"/>
      <c r="AK30"/>
      <c r="AL30"/>
      <c r="AM30"/>
      <c r="AN30"/>
      <c r="AO30"/>
      <c r="AP30"/>
      <c r="AQ30"/>
      <c r="AR30"/>
      <c r="AS30"/>
      <c r="AT30"/>
      <c r="AU30"/>
      <c r="AV30"/>
      <c r="AW30"/>
      <c r="AX30"/>
      <c r="AY30"/>
      <c r="AZ30"/>
      <c r="BA30"/>
      <c r="BB30"/>
      <c r="BC30" s="14"/>
    </row>
    <row r="31" spans="1:55" x14ac:dyDescent="0.25">
      <c r="A31" s="1">
        <f>IF(A30&lt;'Project Information'!B$11,A30+1,"")</f>
        <v>2037</v>
      </c>
      <c r="B31" s="22">
        <f t="shared" si="0"/>
        <v>109166.64693548385</v>
      </c>
      <c r="C31" s="22">
        <f t="shared" si="1"/>
        <v>92791.649895161274</v>
      </c>
      <c r="D31" s="8">
        <f t="shared" si="2"/>
        <v>16374.997040322574</v>
      </c>
      <c r="G31" s="13" t="s">
        <v>392</v>
      </c>
      <c r="H31" s="220">
        <v>176</v>
      </c>
      <c r="I31" s="221">
        <v>81</v>
      </c>
      <c r="J31" s="227">
        <v>48</v>
      </c>
      <c r="K31" s="221">
        <v>12</v>
      </c>
      <c r="L31" s="231">
        <v>2</v>
      </c>
      <c r="M31" s="220">
        <f>SUM(H31:L31)</f>
        <v>319</v>
      </c>
      <c r="N31" s="242">
        <v>1.5</v>
      </c>
      <c r="O31" s="234">
        <f>N31*365</f>
        <v>547.5</v>
      </c>
      <c r="P31" s="234">
        <f>'Parameter Values'!$B$248</f>
        <v>40.5</v>
      </c>
      <c r="Q31" s="235">
        <f>O31*P31</f>
        <v>22173.75</v>
      </c>
      <c r="R31" s="235"/>
      <c r="S31" s="235"/>
      <c r="T31" s="235"/>
      <c r="U31" s="235"/>
      <c r="V31" s="235"/>
      <c r="W31" s="235"/>
      <c r="X31" s="235"/>
      <c r="Y31" s="235"/>
      <c r="Z31" s="235"/>
      <c r="AA31"/>
      <c r="AB31"/>
      <c r="AC31"/>
      <c r="AD31"/>
      <c r="AE31"/>
      <c r="AF31"/>
      <c r="AG31"/>
      <c r="AH31"/>
      <c r="AI31"/>
      <c r="AJ31"/>
      <c r="AK31"/>
      <c r="AL31"/>
      <c r="AM31"/>
      <c r="AN31"/>
      <c r="AO31"/>
      <c r="AP31"/>
      <c r="AQ31"/>
      <c r="AR31"/>
      <c r="AS31"/>
      <c r="AT31"/>
      <c r="AU31"/>
      <c r="AV31"/>
      <c r="AW31"/>
      <c r="AX31"/>
      <c r="AY31"/>
      <c r="AZ31"/>
      <c r="BA31"/>
      <c r="BB31"/>
      <c r="BC31" s="14"/>
    </row>
    <row r="32" spans="1:55" x14ac:dyDescent="0.25">
      <c r="A32" s="1">
        <f>IF(A31&lt;'Project Information'!B$11,A31+1,"")</f>
        <v>2038</v>
      </c>
      <c r="B32" s="22">
        <f t="shared" si="0"/>
        <v>109166.64693548385</v>
      </c>
      <c r="C32" s="22">
        <f t="shared" si="1"/>
        <v>92791.649895161274</v>
      </c>
      <c r="D32" s="8">
        <f t="shared" si="2"/>
        <v>16374.997040322574</v>
      </c>
      <c r="G32" s="216" t="s">
        <v>393</v>
      </c>
      <c r="H32" s="222">
        <v>176</v>
      </c>
      <c r="I32" s="223">
        <v>81</v>
      </c>
      <c r="J32" s="228">
        <v>48</v>
      </c>
      <c r="K32" s="223">
        <v>12</v>
      </c>
      <c r="L32" s="232">
        <v>2</v>
      </c>
      <c r="M32" s="222">
        <f>SUM(H32:L32)</f>
        <v>319</v>
      </c>
      <c r="N32" s="243">
        <v>1.5</v>
      </c>
      <c r="O32" s="217">
        <f t="shared" ref="O32" si="6">N32*365</f>
        <v>547.5</v>
      </c>
      <c r="P32" s="217">
        <f>'Parameter Values'!$B$248</f>
        <v>40.5</v>
      </c>
      <c r="Q32" s="236">
        <f t="shared" ref="Q32" si="7">O32*P32</f>
        <v>22173.75</v>
      </c>
      <c r="R32" s="236"/>
      <c r="S32" s="236"/>
      <c r="T32" s="236"/>
      <c r="U32" s="236"/>
      <c r="V32" s="236"/>
      <c r="W32" s="236"/>
      <c r="X32" s="236"/>
      <c r="Y32" s="236"/>
      <c r="Z32" s="236"/>
      <c r="AA32"/>
      <c r="AB32"/>
      <c r="AC32"/>
      <c r="AD32"/>
      <c r="AE32"/>
      <c r="AF32"/>
      <c r="AG32"/>
      <c r="AH32"/>
      <c r="AI32"/>
      <c r="AJ32"/>
      <c r="AK32"/>
      <c r="AL32"/>
      <c r="AM32"/>
      <c r="AN32"/>
      <c r="AO32"/>
      <c r="AP32"/>
      <c r="AQ32"/>
      <c r="AR32"/>
      <c r="AS32"/>
      <c r="AT32"/>
      <c r="AU32"/>
      <c r="AV32"/>
      <c r="AW32"/>
      <c r="AX32"/>
      <c r="AY32"/>
      <c r="AZ32"/>
      <c r="BA32"/>
      <c r="BB32"/>
      <c r="BC32" s="14"/>
    </row>
    <row r="33" spans="1:55" x14ac:dyDescent="0.25">
      <c r="A33" s="1">
        <f>IF(A32&lt;'Project Information'!B$11,A32+1,"")</f>
        <v>2039</v>
      </c>
      <c r="B33" s="22">
        <f t="shared" si="0"/>
        <v>109166.64693548385</v>
      </c>
      <c r="C33" s="22">
        <f t="shared" si="1"/>
        <v>92791.649895161274</v>
      </c>
      <c r="D33" s="8">
        <f t="shared" si="2"/>
        <v>16374.997040322574</v>
      </c>
      <c r="G33" s="215" t="s">
        <v>394</v>
      </c>
      <c r="H33" s="224">
        <f>SUM(H31:H32)</f>
        <v>352</v>
      </c>
      <c r="I33" s="225">
        <f t="shared" ref="I33:Q33" si="8">SUM(I31:I32)</f>
        <v>162</v>
      </c>
      <c r="J33" s="229">
        <f t="shared" si="8"/>
        <v>96</v>
      </c>
      <c r="K33" s="225">
        <f t="shared" si="8"/>
        <v>24</v>
      </c>
      <c r="L33" s="233">
        <f t="shared" si="8"/>
        <v>4</v>
      </c>
      <c r="M33" s="224">
        <f t="shared" si="8"/>
        <v>638</v>
      </c>
      <c r="N33" s="244">
        <f t="shared" si="8"/>
        <v>3</v>
      </c>
      <c r="O33" s="237">
        <f t="shared" si="8"/>
        <v>1095</v>
      </c>
      <c r="P33" s="237">
        <f t="shared" si="8"/>
        <v>81</v>
      </c>
      <c r="Q33" s="238">
        <f t="shared" si="8"/>
        <v>44347.5</v>
      </c>
      <c r="R33" s="238">
        <v>10</v>
      </c>
      <c r="S33" s="297">
        <f>5*O33</f>
        <v>5475</v>
      </c>
      <c r="T33" s="297">
        <f>(O33*P33)/R33</f>
        <v>8869.5</v>
      </c>
      <c r="U33" s="297">
        <f>(O33*Q33)/S33</f>
        <v>8869.5</v>
      </c>
      <c r="V33" s="297">
        <v>25</v>
      </c>
      <c r="W33" s="297">
        <f>2*O33</f>
        <v>2190</v>
      </c>
      <c r="X33" s="297">
        <f>(O33*P33)/V33</f>
        <v>3547.8</v>
      </c>
      <c r="Y33" s="297">
        <f>(P33*Q33)/W33</f>
        <v>1640.25</v>
      </c>
      <c r="Z33" s="296">
        <f>(U46*(1-U47))</f>
        <v>0.36824193548387091</v>
      </c>
      <c r="AA33"/>
      <c r="AB33"/>
      <c r="AC33"/>
      <c r="AD33"/>
      <c r="AE33"/>
      <c r="AF33"/>
      <c r="AG33"/>
      <c r="AH33"/>
      <c r="AI33"/>
      <c r="AJ33"/>
      <c r="AK33"/>
      <c r="AL33"/>
      <c r="AM33"/>
      <c r="AN33"/>
      <c r="AO33"/>
      <c r="AP33"/>
      <c r="AQ33"/>
      <c r="AR33"/>
      <c r="AS33"/>
      <c r="AT33"/>
      <c r="AU33"/>
      <c r="AV33"/>
      <c r="AW33"/>
      <c r="AX33"/>
      <c r="AY33"/>
      <c r="AZ33"/>
      <c r="BA33"/>
      <c r="BB33"/>
      <c r="BC33" s="14"/>
    </row>
    <row r="34" spans="1:55" x14ac:dyDescent="0.25">
      <c r="A34" s="1">
        <f>IF(A33&lt;'Project Information'!B$11,A33+1,"")</f>
        <v>2040</v>
      </c>
      <c r="B34" s="22">
        <f t="shared" si="0"/>
        <v>109166.64693548385</v>
      </c>
      <c r="C34" s="22">
        <f t="shared" si="1"/>
        <v>92791.649895161274</v>
      </c>
      <c r="D34" s="8">
        <f t="shared" si="2"/>
        <v>16374.997040322574</v>
      </c>
      <c r="G34" s="13"/>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s="14"/>
    </row>
    <row r="35" spans="1:55" x14ac:dyDescent="0.25">
      <c r="A35" s="1">
        <f>IF(A34&lt;'Project Information'!B$11,A34+1,"")</f>
        <v>2041</v>
      </c>
      <c r="B35" s="22">
        <f t="shared" si="0"/>
        <v>109166.64693548385</v>
      </c>
      <c r="C35" s="22">
        <f t="shared" si="1"/>
        <v>92791.649895161274</v>
      </c>
      <c r="D35" s="8">
        <f t="shared" si="2"/>
        <v>16374.997040322574</v>
      </c>
      <c r="G35" s="13"/>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s="14"/>
    </row>
    <row r="36" spans="1:55" x14ac:dyDescent="0.25">
      <c r="A36" s="1">
        <f>IF(A35&lt;'Project Information'!B$11,A35+1,"")</f>
        <v>2042</v>
      </c>
      <c r="B36" s="22">
        <f t="shared" si="0"/>
        <v>109166.64693548385</v>
      </c>
      <c r="C36" s="22">
        <f t="shared" si="1"/>
        <v>92791.649895161274</v>
      </c>
      <c r="D36" s="8">
        <f t="shared" si="2"/>
        <v>16374.997040322574</v>
      </c>
      <c r="G36" s="13"/>
      <c r="H36" s="249" t="s">
        <v>403</v>
      </c>
      <c r="I36" s="249"/>
      <c r="J36" s="249"/>
      <c r="K36" s="249"/>
      <c r="L36" s="249"/>
      <c r="M36" s="249"/>
      <c r="N36" s="249"/>
      <c r="O36" s="249"/>
      <c r="P36" s="249"/>
      <c r="Q36" s="249"/>
      <c r="R36" s="249"/>
      <c r="S36" s="249"/>
      <c r="T36" s="249"/>
      <c r="U36"/>
      <c r="V36"/>
      <c r="W36"/>
      <c r="X36"/>
      <c r="Y36"/>
      <c r="Z36"/>
      <c r="AA36"/>
      <c r="AB36"/>
      <c r="AC36"/>
      <c r="AD36"/>
      <c r="AE36"/>
      <c r="AF36"/>
      <c r="AG36"/>
      <c r="AH36"/>
      <c r="AI36"/>
      <c r="AJ36"/>
      <c r="AK36"/>
      <c r="AL36"/>
      <c r="AM36"/>
      <c r="AN36"/>
      <c r="AO36"/>
      <c r="AP36"/>
      <c r="AQ36"/>
      <c r="AR36"/>
      <c r="AS36"/>
      <c r="AT36"/>
      <c r="AU36"/>
      <c r="AV36"/>
      <c r="AW36"/>
      <c r="AX36"/>
      <c r="AY36"/>
      <c r="AZ36"/>
      <c r="BA36"/>
      <c r="BB36" s="14"/>
    </row>
    <row r="37" spans="1:55" x14ac:dyDescent="0.25">
      <c r="A37" s="1">
        <f>IF(A36&lt;'Project Information'!B$11,A36+1,"")</f>
        <v>2043</v>
      </c>
      <c r="B37" s="22">
        <f t="shared" si="0"/>
        <v>109166.64693548385</v>
      </c>
      <c r="C37" s="22">
        <f t="shared" si="1"/>
        <v>92791.649895161274</v>
      </c>
      <c r="D37" s="8">
        <f t="shared" si="2"/>
        <v>16374.997040322574</v>
      </c>
      <c r="G37" s="13"/>
      <c r="H37" s="190" t="s">
        <v>408</v>
      </c>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s="14"/>
    </row>
    <row r="38" spans="1:55" x14ac:dyDescent="0.25">
      <c r="A38" s="1">
        <f>IF(A37&lt;'Project Information'!B$11,A37+1,"")</f>
        <v>2044</v>
      </c>
      <c r="B38" s="22">
        <f t="shared" si="0"/>
        <v>109166.64693548385</v>
      </c>
      <c r="C38" s="22">
        <f t="shared" si="1"/>
        <v>92791.649895161274</v>
      </c>
      <c r="D38" s="8">
        <f t="shared" si="2"/>
        <v>16374.997040322574</v>
      </c>
      <c r="G38" s="13"/>
      <c r="H38" s="248" t="s">
        <v>543</v>
      </c>
      <c r="I38" s="256"/>
      <c r="J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s="14"/>
    </row>
    <row r="39" spans="1:55" x14ac:dyDescent="0.25">
      <c r="A39" s="1">
        <f>IF(A38&lt;'Project Information'!B$11,A38+1,"")</f>
        <v>2045</v>
      </c>
      <c r="B39" s="22">
        <f t="shared" si="0"/>
        <v>109166.64693548385</v>
      </c>
      <c r="C39" s="22">
        <f t="shared" si="1"/>
        <v>92791.649895161274</v>
      </c>
      <c r="D39" s="8">
        <f t="shared" si="2"/>
        <v>16374.997040322574</v>
      </c>
      <c r="G39" s="13"/>
      <c r="H39" s="248" t="s">
        <v>456</v>
      </c>
      <c r="I39"/>
      <c r="J39"/>
      <c r="K39" s="526" t="s">
        <v>439</v>
      </c>
      <c r="L39" s="526"/>
      <c r="M39" s="526"/>
      <c r="N39" s="526"/>
      <c r="O39" s="526"/>
      <c r="P39" s="526"/>
      <c r="Q39" s="527"/>
      <c r="R39" s="528" t="s">
        <v>440</v>
      </c>
      <c r="S39" s="529"/>
      <c r="T39" s="529"/>
      <c r="U39" s="529"/>
      <c r="V39" s="529"/>
      <c r="W39"/>
      <c r="X39"/>
      <c r="Y39"/>
      <c r="Z39"/>
      <c r="AA39"/>
      <c r="AB39"/>
      <c r="AC39"/>
      <c r="AD39"/>
      <c r="AE39"/>
      <c r="AF39"/>
      <c r="AG39"/>
      <c r="AH39"/>
      <c r="AI39"/>
      <c r="AJ39"/>
      <c r="AK39"/>
      <c r="AL39"/>
      <c r="AM39"/>
      <c r="AN39"/>
      <c r="AO39"/>
      <c r="AP39"/>
      <c r="AQ39"/>
      <c r="AR39"/>
      <c r="AS39"/>
      <c r="AT39"/>
      <c r="AU39"/>
      <c r="AV39"/>
      <c r="AW39"/>
      <c r="AX39"/>
      <c r="AY39"/>
      <c r="AZ39"/>
      <c r="BA39"/>
      <c r="BB39" s="14"/>
    </row>
    <row r="40" spans="1:55" x14ac:dyDescent="0.25">
      <c r="A40" s="1">
        <f>IF(A39&lt;'Project Information'!B$11,A39+1,"")</f>
        <v>2046</v>
      </c>
      <c r="B40" s="22">
        <f t="shared" si="0"/>
        <v>109166.64693548385</v>
      </c>
      <c r="C40" s="22">
        <f t="shared" si="1"/>
        <v>92791.649895161274</v>
      </c>
      <c r="D40" s="8">
        <f t="shared" si="2"/>
        <v>16374.997040322574</v>
      </c>
      <c r="G40" s="13"/>
      <c r="H40"/>
      <c r="I40"/>
      <c r="J40"/>
      <c r="K40" s="256" t="s">
        <v>476</v>
      </c>
      <c r="L40"/>
      <c r="M40"/>
      <c r="N40"/>
      <c r="O40"/>
      <c r="P40"/>
      <c r="Q40"/>
      <c r="R40" s="61"/>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s="14"/>
    </row>
    <row r="41" spans="1:55" ht="30" x14ac:dyDescent="0.25">
      <c r="A41" s="1">
        <f>IF(A40&lt;'Project Information'!B$11,A40+1,"")</f>
        <v>2047</v>
      </c>
      <c r="B41" s="22">
        <f t="shared" si="0"/>
        <v>109166.64693548385</v>
      </c>
      <c r="C41" s="22">
        <f t="shared" si="1"/>
        <v>92791.649895161274</v>
      </c>
      <c r="D41" s="8">
        <f t="shared" si="2"/>
        <v>16374.997040322574</v>
      </c>
      <c r="G41" s="13"/>
      <c r="H41"/>
      <c r="I41"/>
      <c r="J41"/>
      <c r="K41" s="257" t="s">
        <v>4</v>
      </c>
      <c r="L41" s="246" t="s">
        <v>424</v>
      </c>
      <c r="M41" s="246" t="s">
        <v>425</v>
      </c>
      <c r="N41" s="246" t="s">
        <v>426</v>
      </c>
      <c r="O41" s="246" t="s">
        <v>427</v>
      </c>
      <c r="P41" s="246" t="s">
        <v>428</v>
      </c>
      <c r="Q41" s="246" t="s">
        <v>429</v>
      </c>
      <c r="R41" s="258" t="s">
        <v>206</v>
      </c>
      <c r="S41"/>
      <c r="T41"/>
      <c r="U41" s="259" t="s">
        <v>207</v>
      </c>
      <c r="V41" s="298" t="s">
        <v>378</v>
      </c>
      <c r="W41"/>
      <c r="Y41"/>
      <c r="Z41"/>
      <c r="AA41"/>
      <c r="AB41"/>
      <c r="AC41"/>
      <c r="AD41"/>
      <c r="AE41"/>
      <c r="AF41"/>
      <c r="AG41"/>
      <c r="AH41"/>
      <c r="AI41"/>
      <c r="AJ41"/>
      <c r="AK41"/>
      <c r="AL41"/>
      <c r="AM41"/>
      <c r="AN41"/>
      <c r="AO41"/>
      <c r="AP41"/>
      <c r="AQ41"/>
      <c r="AR41"/>
      <c r="AS41"/>
      <c r="AT41"/>
      <c r="AU41"/>
      <c r="AV41"/>
      <c r="AW41"/>
      <c r="AX41"/>
      <c r="AY41"/>
      <c r="AZ41"/>
      <c r="BA41"/>
      <c r="BB41" s="14"/>
    </row>
    <row r="42" spans="1:55" x14ac:dyDescent="0.25">
      <c r="A42" s="1">
        <f>IF(A41&lt;'Project Information'!B$11,A41+1,"")</f>
        <v>2048</v>
      </c>
      <c r="B42" s="22">
        <f t="shared" si="0"/>
        <v>109166.64693548385</v>
      </c>
      <c r="C42" s="22">
        <f t="shared" si="1"/>
        <v>92791.649895161274</v>
      </c>
      <c r="D42" s="8">
        <f t="shared" si="2"/>
        <v>16374.997040322574</v>
      </c>
      <c r="G42" s="13"/>
      <c r="H42"/>
      <c r="I42"/>
      <c r="J42"/>
      <c r="K42" s="255">
        <v>2014</v>
      </c>
      <c r="L42" s="213">
        <v>5</v>
      </c>
      <c r="M42" s="213"/>
      <c r="N42" s="213"/>
      <c r="O42" s="213"/>
      <c r="P42" s="213">
        <v>2</v>
      </c>
      <c r="Q42" s="213"/>
      <c r="R42" s="61" t="s">
        <v>430</v>
      </c>
      <c r="S42"/>
      <c r="T42"/>
      <c r="U42" s="260">
        <v>1116</v>
      </c>
      <c r="V42" s="207" t="s">
        <v>431</v>
      </c>
      <c r="W42"/>
      <c r="Y42"/>
      <c r="Z42"/>
      <c r="AA42"/>
      <c r="AB42"/>
      <c r="AC42"/>
      <c r="AD42"/>
      <c r="AE42"/>
      <c r="AF42"/>
      <c r="AG42"/>
      <c r="AH42"/>
      <c r="AI42"/>
      <c r="AJ42"/>
      <c r="AK42"/>
      <c r="AL42"/>
      <c r="AM42"/>
      <c r="AN42"/>
      <c r="AO42"/>
      <c r="AP42"/>
      <c r="AQ42"/>
      <c r="AR42"/>
      <c r="AS42"/>
      <c r="AT42"/>
      <c r="AU42"/>
      <c r="AV42"/>
      <c r="AW42"/>
      <c r="AX42"/>
      <c r="AY42"/>
      <c r="AZ42"/>
      <c r="BA42"/>
      <c r="BB42" s="14"/>
    </row>
    <row r="43" spans="1:55" x14ac:dyDescent="0.25">
      <c r="A43" s="1">
        <f>IF(A42&lt;'Project Information'!B$11,A42+1,"")</f>
        <v>2049</v>
      </c>
      <c r="B43" s="22">
        <f t="shared" si="0"/>
        <v>109166.64693548385</v>
      </c>
      <c r="C43" s="22">
        <f t="shared" si="1"/>
        <v>92791.649895161274</v>
      </c>
      <c r="D43" s="8">
        <f t="shared" si="2"/>
        <v>16374.997040322574</v>
      </c>
      <c r="G43" s="13"/>
      <c r="H43"/>
      <c r="I43"/>
      <c r="J43"/>
      <c r="K43" s="255">
        <v>2015</v>
      </c>
      <c r="L43" s="213">
        <v>3</v>
      </c>
      <c r="M43" s="213"/>
      <c r="N43" s="213">
        <v>1</v>
      </c>
      <c r="O43" s="213"/>
      <c r="P43" s="213"/>
      <c r="Q43" s="213"/>
      <c r="R43" s="61" t="s">
        <v>437</v>
      </c>
      <c r="S43"/>
      <c r="T43"/>
      <c r="U43" s="261">
        <f>SUM(L42:L51)/10</f>
        <v>3.4</v>
      </c>
      <c r="V43" s="207" t="s">
        <v>441</v>
      </c>
      <c r="W43"/>
      <c r="Y43"/>
      <c r="Z43"/>
      <c r="AA43"/>
      <c r="AB43"/>
      <c r="AC43"/>
      <c r="AD43"/>
      <c r="AE43"/>
      <c r="AF43"/>
      <c r="AG43"/>
      <c r="AH43"/>
      <c r="AI43"/>
      <c r="AJ43"/>
      <c r="AK43"/>
      <c r="AL43"/>
      <c r="AM43"/>
      <c r="AN43"/>
      <c r="AO43"/>
      <c r="AP43"/>
      <c r="AQ43"/>
      <c r="AR43"/>
      <c r="AS43"/>
      <c r="AT43"/>
      <c r="AU43"/>
      <c r="AV43"/>
      <c r="AW43"/>
      <c r="AX43"/>
      <c r="AY43"/>
      <c r="AZ43"/>
      <c r="BA43"/>
      <c r="BB43" s="14"/>
    </row>
    <row r="44" spans="1:55" x14ac:dyDescent="0.25">
      <c r="A44" s="1">
        <f>IF(A43&lt;'Project Information'!B$11,A43+1,"")</f>
        <v>2050</v>
      </c>
      <c r="B44" s="22">
        <f t="shared" si="0"/>
        <v>109166.64693548385</v>
      </c>
      <c r="C44" s="22">
        <f t="shared" si="1"/>
        <v>92791.649895161274</v>
      </c>
      <c r="D44" s="8">
        <f t="shared" si="2"/>
        <v>16374.997040322574</v>
      </c>
      <c r="G44" s="13"/>
      <c r="H44"/>
      <c r="I44"/>
      <c r="J44"/>
      <c r="K44" s="255">
        <v>2016</v>
      </c>
      <c r="L44" s="213">
        <v>1</v>
      </c>
      <c r="M44" s="213"/>
      <c r="N44" s="213"/>
      <c r="O44" s="213"/>
      <c r="P44" s="213"/>
      <c r="Q44" s="213"/>
      <c r="R44" s="61" t="s">
        <v>466</v>
      </c>
      <c r="S44"/>
      <c r="T44"/>
      <c r="U44">
        <f>SUM('Parameter Values'!B248:B249)</f>
        <v>142.19999999999999</v>
      </c>
      <c r="V44" s="207" t="s">
        <v>433</v>
      </c>
      <c r="W44"/>
      <c r="Y44"/>
      <c r="Z44"/>
      <c r="AA44"/>
      <c r="AB44"/>
      <c r="AC44"/>
      <c r="AD44"/>
      <c r="AE44"/>
      <c r="AF44"/>
      <c r="AG44"/>
      <c r="AH44"/>
      <c r="AI44"/>
      <c r="AJ44"/>
      <c r="AK44"/>
      <c r="AL44"/>
      <c r="AM44"/>
      <c r="AN44"/>
      <c r="AO44"/>
      <c r="AP44"/>
      <c r="AQ44"/>
      <c r="AR44"/>
      <c r="AS44"/>
      <c r="AT44"/>
      <c r="AU44"/>
      <c r="AV44"/>
      <c r="AW44"/>
      <c r="AX44"/>
      <c r="AY44"/>
      <c r="AZ44"/>
      <c r="BA44"/>
      <c r="BB44" s="14"/>
    </row>
    <row r="45" spans="1:55" x14ac:dyDescent="0.25">
      <c r="A45" s="1">
        <f>IF(A44&lt;'Project Information'!B$11,A44+1,"")</f>
        <v>2051</v>
      </c>
      <c r="B45" s="22">
        <f t="shared" si="0"/>
        <v>109166.64693548385</v>
      </c>
      <c r="C45" s="22">
        <f t="shared" si="1"/>
        <v>92791.649895161274</v>
      </c>
      <c r="D45" s="8">
        <f t="shared" si="2"/>
        <v>16374.997040322574</v>
      </c>
      <c r="G45" s="13"/>
      <c r="H45"/>
      <c r="I45"/>
      <c r="J45"/>
      <c r="K45" s="255">
        <v>2017</v>
      </c>
      <c r="L45" s="213">
        <v>2</v>
      </c>
      <c r="M45" s="213"/>
      <c r="N45" s="213">
        <v>1</v>
      </c>
      <c r="O45" s="213"/>
      <c r="P45" s="213"/>
      <c r="Q45" s="213"/>
      <c r="R45" s="61" t="s">
        <v>438</v>
      </c>
      <c r="S45"/>
      <c r="T45"/>
      <c r="U45" s="262">
        <f>U44/U42</f>
        <v>0.12741935483870967</v>
      </c>
      <c r="V45" s="207" t="s">
        <v>434</v>
      </c>
      <c r="W45"/>
      <c r="Y45"/>
      <c r="Z45"/>
      <c r="AA45"/>
      <c r="AB45"/>
      <c r="AC45"/>
      <c r="AD45"/>
      <c r="AE45"/>
      <c r="AF45"/>
      <c r="AG45"/>
      <c r="AH45"/>
      <c r="AI45"/>
      <c r="AJ45"/>
      <c r="AK45"/>
      <c r="AL45"/>
      <c r="AM45"/>
      <c r="AN45"/>
      <c r="AO45"/>
      <c r="AP45"/>
      <c r="AQ45"/>
      <c r="AR45"/>
      <c r="AS45"/>
      <c r="AT45"/>
      <c r="AU45"/>
      <c r="AV45"/>
      <c r="AW45"/>
      <c r="AX45"/>
      <c r="AY45"/>
      <c r="AZ45"/>
      <c r="BA45"/>
      <c r="BB45" s="14"/>
    </row>
    <row r="46" spans="1:55" x14ac:dyDescent="0.25">
      <c r="A46" s="1">
        <f>IF(A45&lt;'Project Information'!B$11,A45+1,"")</f>
        <v>2052</v>
      </c>
      <c r="B46" s="22">
        <f t="shared" si="0"/>
        <v>109166.64693548385</v>
      </c>
      <c r="C46" s="22">
        <f t="shared" si="1"/>
        <v>92791.649895161274</v>
      </c>
      <c r="D46" s="8">
        <f t="shared" si="2"/>
        <v>16374.997040322574</v>
      </c>
      <c r="G46" s="13"/>
      <c r="H46"/>
      <c r="I46"/>
      <c r="J46"/>
      <c r="K46" s="255">
        <v>2018</v>
      </c>
      <c r="L46" s="213">
        <v>1</v>
      </c>
      <c r="M46" s="213"/>
      <c r="N46" s="213"/>
      <c r="O46" s="213"/>
      <c r="P46" s="213"/>
      <c r="Q46" s="213"/>
      <c r="R46" s="61" t="s">
        <v>435</v>
      </c>
      <c r="S46"/>
      <c r="T46"/>
      <c r="U46" s="263">
        <f>U45*U43</f>
        <v>0.43322580645161285</v>
      </c>
      <c r="V46" s="207" t="s">
        <v>436</v>
      </c>
      <c r="W46"/>
      <c r="Y46"/>
      <c r="Z46"/>
      <c r="AA46"/>
      <c r="AB46"/>
      <c r="AC46"/>
      <c r="AD46"/>
      <c r="AE46"/>
      <c r="AF46"/>
      <c r="AG46"/>
      <c r="AH46"/>
      <c r="AI46"/>
      <c r="AJ46"/>
      <c r="AK46"/>
      <c r="AL46"/>
      <c r="AM46"/>
      <c r="AN46"/>
      <c r="AO46"/>
      <c r="AP46"/>
      <c r="AQ46"/>
      <c r="AR46"/>
      <c r="AS46"/>
      <c r="AT46"/>
      <c r="AU46"/>
      <c r="AV46"/>
      <c r="AW46"/>
      <c r="AX46"/>
      <c r="AY46"/>
      <c r="AZ46"/>
      <c r="BA46"/>
      <c r="BB46" s="14"/>
    </row>
    <row r="47" spans="1:55" x14ac:dyDescent="0.25">
      <c r="A47" s="1" t="str">
        <f>IF(A46&lt;'Project Information'!B$11,A46+1,"")</f>
        <v/>
      </c>
      <c r="B47" s="22">
        <v>0</v>
      </c>
      <c r="C47" s="22">
        <v>0</v>
      </c>
      <c r="D47" s="8">
        <f t="shared" si="2"/>
        <v>0</v>
      </c>
      <c r="G47" s="13"/>
      <c r="H47"/>
      <c r="I47"/>
      <c r="J47"/>
      <c r="K47" s="255">
        <v>2019</v>
      </c>
      <c r="L47" s="213">
        <v>5</v>
      </c>
      <c r="M47" s="213"/>
      <c r="N47" s="213"/>
      <c r="O47" s="213"/>
      <c r="P47" s="213">
        <v>2</v>
      </c>
      <c r="Q47" s="213"/>
      <c r="R47" s="61" t="s">
        <v>443</v>
      </c>
      <c r="S47"/>
      <c r="T47"/>
      <c r="U47" s="269">
        <v>0.15</v>
      </c>
      <c r="V47" s="207" t="s">
        <v>448</v>
      </c>
      <c r="W47"/>
      <c r="X47"/>
      <c r="Y47"/>
      <c r="Z47"/>
      <c r="AA47"/>
      <c r="AB47"/>
      <c r="AC47"/>
      <c r="AD47"/>
      <c r="AE47"/>
      <c r="AF47"/>
      <c r="AG47"/>
      <c r="AH47"/>
      <c r="AI47"/>
      <c r="AJ47"/>
      <c r="AK47"/>
      <c r="AL47"/>
      <c r="AM47"/>
      <c r="AN47"/>
      <c r="AO47"/>
      <c r="AP47"/>
      <c r="AQ47"/>
      <c r="AR47"/>
      <c r="AS47"/>
      <c r="AT47"/>
      <c r="AU47"/>
      <c r="AV47"/>
      <c r="AW47"/>
      <c r="AX47"/>
      <c r="AY47"/>
      <c r="AZ47"/>
      <c r="BA47"/>
      <c r="BB47" s="14"/>
    </row>
    <row r="48" spans="1:55" x14ac:dyDescent="0.25">
      <c r="A48" s="1" t="str">
        <f>IF(A47&lt;'Project Information'!B$11,A47+1,"")</f>
        <v/>
      </c>
      <c r="B48" s="22">
        <v>0</v>
      </c>
      <c r="C48" s="22">
        <v>0</v>
      </c>
      <c r="D48" s="8">
        <f t="shared" si="2"/>
        <v>0</v>
      </c>
      <c r="G48" s="13"/>
      <c r="H48"/>
      <c r="I48"/>
      <c r="J48"/>
      <c r="K48" s="255">
        <v>2020</v>
      </c>
      <c r="L48" s="213">
        <v>5</v>
      </c>
      <c r="M48" s="213"/>
      <c r="N48" s="213"/>
      <c r="O48" s="213"/>
      <c r="P48" s="213"/>
      <c r="Q48" s="213"/>
      <c r="R48" s="61" t="s">
        <v>444</v>
      </c>
      <c r="S48"/>
      <c r="T48"/>
      <c r="U48" s="197">
        <v>251985.5588235294</v>
      </c>
      <c r="V48" t="s">
        <v>432</v>
      </c>
      <c r="W48"/>
      <c r="X48"/>
      <c r="Y48"/>
      <c r="Z48"/>
      <c r="AA48"/>
      <c r="AB48"/>
      <c r="AC48"/>
      <c r="AD48"/>
      <c r="AE48"/>
      <c r="AF48"/>
      <c r="AG48"/>
      <c r="AH48"/>
      <c r="AI48"/>
      <c r="AJ48"/>
      <c r="AK48"/>
      <c r="AL48"/>
      <c r="AM48"/>
      <c r="AN48"/>
      <c r="AO48"/>
      <c r="AP48"/>
      <c r="AQ48"/>
      <c r="AR48"/>
      <c r="AS48"/>
      <c r="AT48"/>
      <c r="AU48"/>
      <c r="AV48"/>
      <c r="AW48"/>
      <c r="AX48"/>
      <c r="AY48"/>
      <c r="AZ48"/>
      <c r="BA48"/>
      <c r="BB48" s="14"/>
    </row>
    <row r="49" spans="1:54" x14ac:dyDescent="0.25">
      <c r="A49" s="1" t="str">
        <f>IF(A48&lt;'Project Information'!B$11,A48+1,"")</f>
        <v/>
      </c>
      <c r="B49" s="22">
        <v>0</v>
      </c>
      <c r="C49" s="22">
        <v>0</v>
      </c>
      <c r="D49" s="8">
        <f t="shared" si="2"/>
        <v>0</v>
      </c>
      <c r="G49" s="13"/>
      <c r="H49"/>
      <c r="I49"/>
      <c r="J49"/>
      <c r="K49" s="255">
        <v>2021</v>
      </c>
      <c r="L49" s="213">
        <v>2</v>
      </c>
      <c r="M49" s="213"/>
      <c r="N49" s="213">
        <v>1</v>
      </c>
      <c r="O49" s="213">
        <v>2</v>
      </c>
      <c r="P49" s="213"/>
      <c r="Q49" s="213"/>
      <c r="R49" s="258" t="s">
        <v>445</v>
      </c>
      <c r="S49"/>
      <c r="T49"/>
      <c r="U49" s="270">
        <f>U46*U48</f>
        <v>109166.64693548385</v>
      </c>
      <c r="V49" t="s">
        <v>446</v>
      </c>
      <c r="W49"/>
      <c r="X49"/>
      <c r="Y49"/>
      <c r="Z49"/>
      <c r="AA49"/>
      <c r="AB49"/>
      <c r="AC49"/>
      <c r="AD49"/>
      <c r="AE49"/>
      <c r="AF49"/>
      <c r="AG49"/>
      <c r="AH49"/>
      <c r="AI49"/>
      <c r="AJ49"/>
      <c r="AK49"/>
      <c r="AL49"/>
      <c r="AM49"/>
      <c r="AN49"/>
      <c r="AO49"/>
      <c r="AP49"/>
      <c r="AQ49"/>
      <c r="AR49"/>
      <c r="AS49"/>
      <c r="AT49"/>
      <c r="AU49"/>
      <c r="AV49"/>
      <c r="AW49"/>
      <c r="AX49"/>
      <c r="AY49"/>
      <c r="AZ49"/>
      <c r="BA49"/>
      <c r="BB49" s="14"/>
    </row>
    <row r="50" spans="1:54" x14ac:dyDescent="0.25">
      <c r="A50" s="1" t="str">
        <f>IF(A49&lt;'Project Information'!B$11,A49+1,"")</f>
        <v/>
      </c>
      <c r="B50" s="22">
        <v>0</v>
      </c>
      <c r="C50" s="22">
        <v>0</v>
      </c>
      <c r="D50" s="8">
        <f t="shared" si="2"/>
        <v>0</v>
      </c>
      <c r="G50" s="13"/>
      <c r="H50"/>
      <c r="I50"/>
      <c r="J50"/>
      <c r="K50" s="255">
        <v>2022</v>
      </c>
      <c r="L50" s="213">
        <v>4</v>
      </c>
      <c r="M50" s="213">
        <v>1</v>
      </c>
      <c r="N50" s="213"/>
      <c r="O50" s="213"/>
      <c r="P50" s="213"/>
      <c r="Q50" s="213">
        <v>2</v>
      </c>
      <c r="R50" s="258" t="s">
        <v>449</v>
      </c>
      <c r="S50"/>
      <c r="T50"/>
      <c r="U50" s="270">
        <f>U46*(1-U47)*U48</f>
        <v>92791.649895161274</v>
      </c>
      <c r="V50" t="s">
        <v>447</v>
      </c>
      <c r="W50"/>
      <c r="X50"/>
      <c r="Y50"/>
      <c r="Z50"/>
      <c r="AA50"/>
      <c r="AB50"/>
      <c r="AC50"/>
      <c r="AD50"/>
      <c r="AE50"/>
      <c r="AF50"/>
      <c r="AG50"/>
      <c r="AH50"/>
      <c r="AI50"/>
      <c r="AJ50"/>
      <c r="AK50"/>
      <c r="AL50"/>
      <c r="AM50"/>
      <c r="AN50"/>
      <c r="AO50"/>
      <c r="AP50"/>
      <c r="AQ50"/>
      <c r="AR50"/>
      <c r="AS50"/>
      <c r="AT50"/>
      <c r="AU50"/>
      <c r="AV50"/>
      <c r="AW50"/>
      <c r="AX50"/>
      <c r="AY50"/>
      <c r="AZ50"/>
      <c r="BA50"/>
      <c r="BB50" s="14"/>
    </row>
    <row r="51" spans="1:54" x14ac:dyDescent="0.25">
      <c r="A51" s="1" t="str">
        <f>IF(A50&lt;'Project Information'!B$11,A50+1,"")</f>
        <v/>
      </c>
      <c r="B51" s="22">
        <v>0</v>
      </c>
      <c r="C51" s="22">
        <v>0</v>
      </c>
      <c r="D51" s="9">
        <f t="shared" si="2"/>
        <v>0</v>
      </c>
      <c r="G51" s="13"/>
      <c r="H51"/>
      <c r="I51"/>
      <c r="J51"/>
      <c r="K51" s="264">
        <v>2023</v>
      </c>
      <c r="L51" s="265">
        <v>6</v>
      </c>
      <c r="M51" s="265"/>
      <c r="N51" s="265"/>
      <c r="O51" s="265"/>
      <c r="P51" s="265"/>
      <c r="Q51" s="266"/>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s="14"/>
    </row>
    <row r="52" spans="1:54" x14ac:dyDescent="0.25">
      <c r="A52" s="31"/>
      <c r="B52" s="32"/>
      <c r="C52" s="32"/>
      <c r="D52" s="29"/>
      <c r="G52" s="13"/>
      <c r="H52"/>
      <c r="I52"/>
      <c r="J52"/>
      <c r="K52" s="267" t="s">
        <v>442</v>
      </c>
      <c r="L52" s="268">
        <f>SUM(L42:L51)</f>
        <v>34</v>
      </c>
      <c r="M52" s="268">
        <f t="shared" ref="M52:Q52" si="9">SUM(M42:M51)</f>
        <v>1</v>
      </c>
      <c r="N52" s="268">
        <f t="shared" si="9"/>
        <v>3</v>
      </c>
      <c r="O52" s="268">
        <f t="shared" si="9"/>
        <v>2</v>
      </c>
      <c r="P52" s="268">
        <f t="shared" si="9"/>
        <v>4</v>
      </c>
      <c r="Q52" s="268">
        <f t="shared" si="9"/>
        <v>2</v>
      </c>
      <c r="R52"/>
      <c r="S52"/>
      <c r="T52" s="299" t="s">
        <v>478</v>
      </c>
      <c r="U52" s="261">
        <f>U46*25</f>
        <v>10.830645161290322</v>
      </c>
      <c r="V52" s="177"/>
      <c r="W52"/>
      <c r="X52"/>
      <c r="Y52"/>
      <c r="Z52"/>
      <c r="AA52"/>
      <c r="AB52"/>
      <c r="AC52"/>
      <c r="AD52"/>
      <c r="AE52"/>
      <c r="AF52"/>
      <c r="AG52"/>
      <c r="AH52"/>
      <c r="AI52"/>
      <c r="AJ52"/>
      <c r="AK52"/>
      <c r="AL52"/>
      <c r="AM52"/>
      <c r="AN52"/>
      <c r="AO52"/>
      <c r="AP52"/>
      <c r="AQ52"/>
      <c r="AR52"/>
      <c r="AS52"/>
      <c r="AT52"/>
      <c r="AU52"/>
      <c r="AV52"/>
      <c r="AW52"/>
      <c r="AX52"/>
      <c r="AY52"/>
      <c r="AZ52"/>
      <c r="BA52"/>
      <c r="BB52" s="14"/>
    </row>
    <row r="53" spans="1:54" x14ac:dyDescent="0.25">
      <c r="B53" s="28"/>
      <c r="C53" s="28"/>
      <c r="D53" s="29"/>
      <c r="G53" s="13"/>
      <c r="H53"/>
      <c r="I53"/>
      <c r="J53"/>
      <c r="K53"/>
      <c r="L53"/>
      <c r="M53"/>
      <c r="N53"/>
      <c r="O53"/>
      <c r="P53"/>
      <c r="Q53"/>
      <c r="R53"/>
      <c r="S53"/>
      <c r="T53" s="299" t="s">
        <v>479</v>
      </c>
      <c r="U53" s="261">
        <f>U52*(1-U47)</f>
        <v>9.2060483870967733</v>
      </c>
      <c r="V53"/>
      <c r="W53"/>
      <c r="X53"/>
      <c r="Y53"/>
      <c r="Z53"/>
      <c r="AA53"/>
      <c r="AB53"/>
      <c r="AC53"/>
      <c r="AD53"/>
      <c r="AE53"/>
      <c r="AF53"/>
      <c r="AG53"/>
      <c r="AH53"/>
      <c r="AI53"/>
      <c r="AJ53"/>
      <c r="AK53"/>
      <c r="AL53"/>
      <c r="AM53"/>
      <c r="AN53"/>
      <c r="AO53"/>
      <c r="AP53"/>
      <c r="AQ53"/>
      <c r="AR53"/>
      <c r="AS53"/>
      <c r="AT53"/>
      <c r="AU53"/>
      <c r="AV53"/>
      <c r="AW53"/>
      <c r="AX53"/>
      <c r="AY53"/>
      <c r="AZ53"/>
      <c r="BA53"/>
      <c r="BB53" s="14"/>
    </row>
    <row r="54" spans="1:54" x14ac:dyDescent="0.25">
      <c r="B54" s="28"/>
      <c r="C54" s="28"/>
      <c r="D54" s="29"/>
      <c r="G54" s="13"/>
      <c r="H54"/>
      <c r="I54"/>
      <c r="J54"/>
      <c r="K54"/>
      <c r="L54"/>
      <c r="M54"/>
      <c r="N54"/>
      <c r="O54"/>
      <c r="P54"/>
      <c r="Q54"/>
      <c r="R54"/>
      <c r="S54"/>
      <c r="T54" s="299" t="s">
        <v>477</v>
      </c>
      <c r="U54" s="261">
        <f>U52-U53</f>
        <v>1.6245967741935488</v>
      </c>
      <c r="V54"/>
      <c r="W54"/>
      <c r="X54"/>
      <c r="Y54"/>
      <c r="Z54"/>
      <c r="AA54"/>
      <c r="AB54"/>
      <c r="AC54"/>
      <c r="AD54"/>
      <c r="AE54"/>
      <c r="AF54"/>
      <c r="AG54"/>
      <c r="AH54"/>
      <c r="AI54"/>
      <c r="AJ54"/>
      <c r="AK54"/>
      <c r="AL54"/>
      <c r="AM54"/>
      <c r="AN54"/>
      <c r="AO54"/>
      <c r="AP54"/>
      <c r="AQ54"/>
      <c r="AR54"/>
      <c r="AS54"/>
      <c r="AT54"/>
      <c r="AU54"/>
      <c r="AV54"/>
      <c r="AW54"/>
      <c r="AX54"/>
      <c r="AY54"/>
      <c r="AZ54"/>
      <c r="BA54"/>
      <c r="BB54" s="14"/>
    </row>
    <row r="55" spans="1:54" x14ac:dyDescent="0.25">
      <c r="B55" s="28"/>
      <c r="C55" s="28"/>
      <c r="D55" s="29"/>
      <c r="G55" s="13"/>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s="14"/>
    </row>
    <row r="56" spans="1:54" x14ac:dyDescent="0.25">
      <c r="B56" s="28"/>
      <c r="C56" s="28"/>
      <c r="D56" s="29"/>
      <c r="G56" s="13"/>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s="14"/>
    </row>
    <row r="57" spans="1:54" x14ac:dyDescent="0.25">
      <c r="B57" s="28"/>
      <c r="C57" s="28"/>
      <c r="D57" s="29"/>
      <c r="G57" s="13"/>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s="14"/>
    </row>
    <row r="58" spans="1:54" x14ac:dyDescent="0.25">
      <c r="B58" s="28"/>
      <c r="C58" s="28"/>
      <c r="D58" s="29"/>
      <c r="G58" s="13"/>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s="14"/>
    </row>
    <row r="59" spans="1:54" x14ac:dyDescent="0.25">
      <c r="B59" s="28"/>
      <c r="C59" s="28"/>
      <c r="D59" s="29"/>
      <c r="G59" s="13"/>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s="14"/>
    </row>
    <row r="60" spans="1:54" x14ac:dyDescent="0.25">
      <c r="B60" s="28"/>
      <c r="C60" s="28"/>
      <c r="D60" s="29"/>
      <c r="G60" s="13"/>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s="14"/>
    </row>
    <row r="61" spans="1:54" x14ac:dyDescent="0.25">
      <c r="B61" s="28"/>
      <c r="C61" s="28"/>
      <c r="D61" s="29"/>
      <c r="G61" s="13"/>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s="14"/>
    </row>
    <row r="62" spans="1:54" x14ac:dyDescent="0.25">
      <c r="G62" s="13"/>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s="14"/>
    </row>
    <row r="63" spans="1:54" x14ac:dyDescent="0.25">
      <c r="G63" s="1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s="14"/>
    </row>
    <row r="64" spans="1:54" x14ac:dyDescent="0.25">
      <c r="G64" s="13"/>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s="14"/>
    </row>
    <row r="65" spans="7:54" x14ac:dyDescent="0.25">
      <c r="G65" s="13"/>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s="14"/>
    </row>
    <row r="66" spans="7:54" x14ac:dyDescent="0.25">
      <c r="G66" s="13"/>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s="14"/>
    </row>
    <row r="67" spans="7:54" x14ac:dyDescent="0.25">
      <c r="G67" s="13"/>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s="14"/>
    </row>
    <row r="68" spans="7:54" x14ac:dyDescent="0.25">
      <c r="G68" s="13"/>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s="14"/>
    </row>
    <row r="69" spans="7:54" x14ac:dyDescent="0.25">
      <c r="G69" s="13"/>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s="14"/>
    </row>
    <row r="70" spans="7:54" x14ac:dyDescent="0.25">
      <c r="G70" s="13"/>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s="14"/>
    </row>
    <row r="71" spans="7:54" x14ac:dyDescent="0.25">
      <c r="G71" s="13"/>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s="14"/>
    </row>
    <row r="72" spans="7:54" x14ac:dyDescent="0.25">
      <c r="G72" s="13"/>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s="14"/>
    </row>
    <row r="73" spans="7:54" x14ac:dyDescent="0.25">
      <c r="G73" s="1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s="14"/>
    </row>
    <row r="74" spans="7:54" x14ac:dyDescent="0.25">
      <c r="G74" s="13"/>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s="14"/>
    </row>
    <row r="75" spans="7:54" x14ac:dyDescent="0.25">
      <c r="G75" s="13"/>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s="14"/>
    </row>
    <row r="76" spans="7:54" x14ac:dyDescent="0.25">
      <c r="G76" s="13"/>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s="14"/>
    </row>
    <row r="77" spans="7:54" x14ac:dyDescent="0.25">
      <c r="G77" s="13"/>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s="14"/>
    </row>
    <row r="78" spans="7:54" x14ac:dyDescent="0.25">
      <c r="G78" s="13"/>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s="14"/>
    </row>
    <row r="79" spans="7:54" x14ac:dyDescent="0.25">
      <c r="G79" s="13"/>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s="14"/>
    </row>
    <row r="80" spans="7:54" x14ac:dyDescent="0.25">
      <c r="G80" s="13"/>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s="14"/>
    </row>
    <row r="81" spans="7:54" x14ac:dyDescent="0.25">
      <c r="G81" s="13"/>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s="14"/>
    </row>
    <row r="82" spans="7:54" x14ac:dyDescent="0.25">
      <c r="G82" s="13"/>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s="14"/>
    </row>
    <row r="83" spans="7:54" x14ac:dyDescent="0.25">
      <c r="G83" s="1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s="14"/>
    </row>
    <row r="84" spans="7:54" x14ac:dyDescent="0.25">
      <c r="G84" s="13"/>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s="14"/>
    </row>
    <row r="85" spans="7:54" x14ac:dyDescent="0.25">
      <c r="G85" s="13"/>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s="14"/>
    </row>
    <row r="86" spans="7:54" x14ac:dyDescent="0.25">
      <c r="G86" s="13"/>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s="14"/>
    </row>
    <row r="87" spans="7:54" x14ac:dyDescent="0.25">
      <c r="G87" s="13"/>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s="14"/>
    </row>
    <row r="88" spans="7:54" x14ac:dyDescent="0.25">
      <c r="G88" s="13"/>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s="14"/>
    </row>
    <row r="89" spans="7:54" x14ac:dyDescent="0.25">
      <c r="G89" s="13"/>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s="14"/>
    </row>
    <row r="90" spans="7:54" x14ac:dyDescent="0.25">
      <c r="G90" s="13"/>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s="14"/>
    </row>
    <row r="91" spans="7:54" x14ac:dyDescent="0.25">
      <c r="G91" s="13"/>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s="14"/>
    </row>
    <row r="92" spans="7:54" x14ac:dyDescent="0.25">
      <c r="G92" s="13"/>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s="14"/>
    </row>
    <row r="93" spans="7:54" x14ac:dyDescent="0.25">
      <c r="G93" s="1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s="14"/>
    </row>
    <row r="94" spans="7:54" x14ac:dyDescent="0.25">
      <c r="G94" s="13"/>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s="14"/>
    </row>
    <row r="95" spans="7:54" x14ac:dyDescent="0.25">
      <c r="G95" s="13"/>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s="14"/>
    </row>
    <row r="96" spans="7:54" x14ac:dyDescent="0.25">
      <c r="G96" s="13"/>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s="14"/>
    </row>
    <row r="97" spans="7:54" x14ac:dyDescent="0.25">
      <c r="G97" s="13"/>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s="14"/>
    </row>
    <row r="98" spans="7:54" x14ac:dyDescent="0.25">
      <c r="G98" s="13"/>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s="14"/>
    </row>
    <row r="99" spans="7:54" x14ac:dyDescent="0.25">
      <c r="G99" s="13"/>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s="14"/>
    </row>
    <row r="100" spans="7:54" x14ac:dyDescent="0.25">
      <c r="G100" s="13"/>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s="14"/>
    </row>
    <row r="101" spans="7:54" x14ac:dyDescent="0.25">
      <c r="G101" s="13"/>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s="14"/>
    </row>
    <row r="102" spans="7:54" x14ac:dyDescent="0.25">
      <c r="G102" s="13"/>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s="14"/>
    </row>
    <row r="103" spans="7:54" x14ac:dyDescent="0.25">
      <c r="G103" s="1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s="14"/>
    </row>
    <row r="104" spans="7:54" x14ac:dyDescent="0.25">
      <c r="G104" s="13"/>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s="14"/>
    </row>
    <row r="105" spans="7:54" x14ac:dyDescent="0.25">
      <c r="G105" s="13"/>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s="14"/>
    </row>
    <row r="106" spans="7:54" x14ac:dyDescent="0.25">
      <c r="G106" s="13"/>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s="14"/>
    </row>
    <row r="107" spans="7:54" x14ac:dyDescent="0.25">
      <c r="G107" s="13"/>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s="14"/>
    </row>
    <row r="108" spans="7:54" x14ac:dyDescent="0.25">
      <c r="G108" s="13"/>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s="14"/>
    </row>
    <row r="109" spans="7:54" ht="15.75" thickBot="1" x14ac:dyDescent="0.3">
      <c r="G109" s="13"/>
      <c r="H109" s="16"/>
      <c r="I109" s="16"/>
      <c r="J109" s="16"/>
      <c r="K109" s="16"/>
      <c r="L109" s="16"/>
      <c r="M109" s="16"/>
      <c r="N109" s="16"/>
      <c r="O109" s="16"/>
      <c r="P109" s="16"/>
      <c r="Q109" s="16"/>
      <c r="R109" s="16"/>
      <c r="S109" s="16"/>
      <c r="T109" s="16"/>
      <c r="U109" s="16"/>
      <c r="V109" s="16"/>
      <c r="W109" s="16"/>
      <c r="X109" s="16"/>
      <c r="Y109" s="16"/>
      <c r="Z109" s="16"/>
      <c r="AA109" s="16"/>
      <c r="AB109" s="16"/>
      <c r="AC109"/>
      <c r="AD109"/>
      <c r="AE109"/>
      <c r="AF109"/>
      <c r="AG109"/>
      <c r="AH109"/>
      <c r="AI109"/>
      <c r="AJ109"/>
      <c r="AK109"/>
      <c r="AL109"/>
      <c r="AM109"/>
      <c r="AN109"/>
      <c r="AO109"/>
      <c r="AP109"/>
      <c r="AQ109"/>
      <c r="AR109"/>
      <c r="AS109"/>
      <c r="AT109"/>
      <c r="AU109"/>
      <c r="AV109"/>
      <c r="AW109"/>
      <c r="AX109"/>
      <c r="AY109"/>
      <c r="AZ109"/>
      <c r="BA109"/>
      <c r="BB109" s="14"/>
    </row>
    <row r="110" spans="7:54" x14ac:dyDescent="0.25">
      <c r="G110" s="13"/>
      <c r="AC110"/>
      <c r="AD110"/>
      <c r="AE110"/>
      <c r="AF110"/>
      <c r="AG110"/>
      <c r="AH110"/>
      <c r="AI110"/>
      <c r="AJ110"/>
      <c r="AK110"/>
      <c r="AL110"/>
      <c r="AM110"/>
      <c r="AN110"/>
      <c r="AO110"/>
      <c r="AP110"/>
      <c r="AQ110"/>
      <c r="AR110"/>
      <c r="AS110"/>
      <c r="AT110"/>
      <c r="AU110"/>
      <c r="AV110"/>
      <c r="AW110"/>
      <c r="AX110"/>
      <c r="AY110"/>
      <c r="AZ110"/>
      <c r="BA110"/>
      <c r="BB110" s="14"/>
    </row>
    <row r="111" spans="7:54" ht="15.75" thickBot="1" x14ac:dyDescent="0.3">
      <c r="G111" s="15"/>
      <c r="AC111" s="16"/>
      <c r="AD111" s="16"/>
      <c r="AE111" s="16"/>
      <c r="AF111" s="16"/>
      <c r="AG111" s="16"/>
      <c r="AH111" s="16"/>
      <c r="AI111" s="16"/>
      <c r="AJ111" s="16"/>
      <c r="AK111" s="16"/>
      <c r="AL111" s="16"/>
      <c r="AM111" s="16"/>
      <c r="AN111" s="16"/>
      <c r="AO111" s="16"/>
      <c r="AP111" s="16"/>
      <c r="AQ111" s="16"/>
      <c r="AR111" s="16"/>
      <c r="AS111" s="16"/>
      <c r="AT111" s="16"/>
      <c r="AU111" s="16"/>
      <c r="AV111" s="16"/>
      <c r="AW111" s="16"/>
      <c r="AX111" s="16"/>
      <c r="AY111" s="16"/>
      <c r="AZ111" s="16"/>
      <c r="BA111" s="16"/>
      <c r="BB111" s="17"/>
    </row>
  </sheetData>
  <mergeCells count="31">
    <mergeCell ref="M21:T21"/>
    <mergeCell ref="M28:Z28"/>
    <mergeCell ref="X29:X30"/>
    <mergeCell ref="U22:U23"/>
    <mergeCell ref="Y29:Y30"/>
    <mergeCell ref="Z29:Z30"/>
    <mergeCell ref="U29:U30"/>
    <mergeCell ref="W29:W30"/>
    <mergeCell ref="Q22:Q23"/>
    <mergeCell ref="R22:R23"/>
    <mergeCell ref="S22:S23"/>
    <mergeCell ref="T22:T23"/>
    <mergeCell ref="P22:P23"/>
    <mergeCell ref="K39:Q39"/>
    <mergeCell ref="R39:V39"/>
    <mergeCell ref="Q29:Q30"/>
    <mergeCell ref="R29:R30"/>
    <mergeCell ref="S29:S30"/>
    <mergeCell ref="T29:T30"/>
    <mergeCell ref="V29:V30"/>
    <mergeCell ref="P29:P30"/>
    <mergeCell ref="H29:I29"/>
    <mergeCell ref="J29:K29"/>
    <mergeCell ref="M29:M30"/>
    <mergeCell ref="N29:N30"/>
    <mergeCell ref="O29:O30"/>
    <mergeCell ref="H22:I22"/>
    <mergeCell ref="J22:K22"/>
    <mergeCell ref="M22:M23"/>
    <mergeCell ref="N22:N23"/>
    <mergeCell ref="O22:O23"/>
  </mergeCells>
  <conditionalFormatting sqref="B22:C46 B47:B51">
    <cfRule type="expression" dxfId="16" priority="2">
      <formula>A22=""</formula>
    </cfRule>
  </conditionalFormatting>
  <conditionalFormatting sqref="C47:C51">
    <cfRule type="expression" dxfId="15" priority="1">
      <formula>A47=""</formula>
    </cfRule>
  </conditionalFormatting>
  <pageMargins left="0.7" right="0.7" top="0.75" bottom="0.75" header="0.3" footer="0.3"/>
  <pageSetup orientation="portrait" r:id="rId1"/>
  <ignoredErrors>
    <ignoredError sqref="U44"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A464A-8D12-4AB5-8A49-F5EA91C50422}">
  <sheetPr>
    <tabColor theme="9" tint="0.39997558519241921"/>
  </sheetPr>
  <dimension ref="A1:BB109"/>
  <sheetViews>
    <sheetView topLeftCell="A11" workbookViewId="0">
      <selection activeCell="H35" sqref="H35"/>
    </sheetView>
  </sheetViews>
  <sheetFormatPr defaultColWidth="9.140625" defaultRowHeight="15" x14ac:dyDescent="0.25"/>
  <cols>
    <col min="1" max="1" width="28.5703125" style="5" customWidth="1"/>
    <col min="2" max="2" width="27.42578125" style="5" customWidth="1"/>
    <col min="3" max="3" width="28.85546875" style="5" customWidth="1"/>
    <col min="4" max="4" width="30.85546875" style="5" customWidth="1"/>
    <col min="5" max="6" width="9.140625" style="5"/>
    <col min="7" max="7" width="11" style="5" customWidth="1"/>
    <col min="8" max="15" width="9.140625" style="5"/>
    <col min="16" max="16" width="11.42578125" style="5" customWidth="1"/>
    <col min="17" max="17" width="9.140625" style="5"/>
    <col min="18" max="18" width="14.28515625" style="5" customWidth="1"/>
    <col min="19" max="19" width="16" style="5" customWidth="1"/>
    <col min="20" max="20" width="16.42578125" style="5" customWidth="1"/>
    <col min="21" max="21" width="16.140625" style="5" customWidth="1"/>
    <col min="22" max="22" width="13.85546875" style="5" customWidth="1"/>
    <col min="23" max="23" width="14.7109375" style="5" customWidth="1"/>
    <col min="24" max="24" width="11.42578125" style="5" customWidth="1"/>
    <col min="25" max="25" width="15" style="5" customWidth="1"/>
    <col min="26" max="26" width="14.5703125" style="5" customWidth="1"/>
    <col min="27" max="27" width="20.28515625" style="5" customWidth="1"/>
    <col min="28" max="28" width="19.7109375" style="5" customWidth="1"/>
    <col min="29" max="29" width="20.28515625" style="5" customWidth="1"/>
    <col min="30" max="30" width="19.28515625" style="5" customWidth="1"/>
    <col min="31" max="16384" width="9.140625" style="5"/>
  </cols>
  <sheetData>
    <row r="1" spans="1:10" ht="20.25" thickBot="1" x14ac:dyDescent="0.35">
      <c r="A1" s="93" t="s">
        <v>9</v>
      </c>
    </row>
    <row r="2" spans="1:10" ht="15.75" thickTop="1" x14ac:dyDescent="0.25">
      <c r="A2" s="148" t="s">
        <v>238</v>
      </c>
      <c r="B2" s="148"/>
      <c r="C2" s="148"/>
      <c r="D2" s="148"/>
      <c r="E2" s="148"/>
      <c r="F2" s="148"/>
      <c r="G2" s="148"/>
    </row>
    <row r="3" spans="1:10" x14ac:dyDescent="0.25">
      <c r="A3" s="5" t="s">
        <v>198</v>
      </c>
    </row>
    <row r="4" spans="1:10" x14ac:dyDescent="0.25">
      <c r="A4" s="149" t="s">
        <v>257</v>
      </c>
      <c r="B4" s="148"/>
      <c r="C4" s="148"/>
      <c r="D4" s="148"/>
      <c r="E4" s="148"/>
      <c r="F4" s="148"/>
      <c r="G4" s="148"/>
      <c r="H4" s="148"/>
      <c r="I4" s="148"/>
      <c r="J4" s="148"/>
    </row>
    <row r="5" spans="1:10" x14ac:dyDescent="0.25">
      <c r="A5" s="38" t="s">
        <v>198</v>
      </c>
    </row>
    <row r="6" spans="1:10" x14ac:dyDescent="0.25">
      <c r="A6" s="94" t="s">
        <v>239</v>
      </c>
    </row>
    <row r="7" spans="1:10" x14ac:dyDescent="0.25">
      <c r="A7" s="113" t="s">
        <v>31</v>
      </c>
      <c r="B7" s="113" t="s">
        <v>316</v>
      </c>
    </row>
    <row r="8" spans="1:10" x14ac:dyDescent="0.25">
      <c r="A8" s="35" t="s">
        <v>182</v>
      </c>
      <c r="B8" s="39">
        <f>'Parameter Values'!B24</f>
        <v>17.899999999999999</v>
      </c>
    </row>
    <row r="9" spans="1:10" x14ac:dyDescent="0.25">
      <c r="A9" s="35" t="s">
        <v>178</v>
      </c>
      <c r="B9" s="39">
        <f>'Parameter Values'!B30</f>
        <v>0</v>
      </c>
    </row>
    <row r="10" spans="1:10" x14ac:dyDescent="0.25">
      <c r="A10" s="35" t="s">
        <v>179</v>
      </c>
      <c r="B10" s="39">
        <f>'Parameter Values'!B26</f>
        <v>19.600000000000001</v>
      </c>
    </row>
    <row r="11" spans="1:10" ht="30" x14ac:dyDescent="0.25">
      <c r="A11" s="35" t="s">
        <v>180</v>
      </c>
      <c r="B11" s="39">
        <f>'Parameter Values'!B28</f>
        <v>35.799999999999997</v>
      </c>
    </row>
    <row r="12" spans="1:10" x14ac:dyDescent="0.25">
      <c r="A12" s="35" t="s">
        <v>181</v>
      </c>
      <c r="B12" s="39"/>
    </row>
    <row r="13" spans="1:10" x14ac:dyDescent="0.25">
      <c r="A13" s="35" t="s">
        <v>34</v>
      </c>
      <c r="B13" s="39">
        <f>'Parameter Values'!B31</f>
        <v>33.5</v>
      </c>
    </row>
    <row r="14" spans="1:10" x14ac:dyDescent="0.25">
      <c r="A14" s="35" t="s">
        <v>35</v>
      </c>
      <c r="B14" s="39">
        <f>'Parameter Values'!B32</f>
        <v>36.5</v>
      </c>
    </row>
    <row r="15" spans="1:10" x14ac:dyDescent="0.25">
      <c r="A15" s="35" t="s">
        <v>36</v>
      </c>
      <c r="B15" s="39">
        <f>'Parameter Values'!B33</f>
        <v>63.3</v>
      </c>
    </row>
    <row r="16" spans="1:10" x14ac:dyDescent="0.25">
      <c r="A16" s="35" t="s">
        <v>37</v>
      </c>
      <c r="B16" s="39">
        <f>'Parameter Values'!B34</f>
        <v>53.5</v>
      </c>
    </row>
    <row r="17" spans="1:53" x14ac:dyDescent="0.25">
      <c r="A17" s="38" t="s">
        <v>198</v>
      </c>
    </row>
    <row r="18" spans="1:53" ht="15.75" thickBot="1" x14ac:dyDescent="0.3">
      <c r="A18" s="94" t="s">
        <v>241</v>
      </c>
    </row>
    <row r="19" spans="1:53" x14ac:dyDescent="0.25">
      <c r="A19" s="104" t="s">
        <v>4</v>
      </c>
      <c r="B19" s="105" t="s">
        <v>173</v>
      </c>
      <c r="C19" s="105" t="s">
        <v>174</v>
      </c>
      <c r="D19" s="111" t="s">
        <v>167</v>
      </c>
      <c r="G19" s="214" t="s">
        <v>410</v>
      </c>
      <c r="H19" s="11"/>
      <c r="I19" s="11"/>
      <c r="J19" s="11"/>
      <c r="K19" s="11"/>
      <c r="L19" s="11"/>
      <c r="M19" s="489" t="s">
        <v>463</v>
      </c>
      <c r="N19" s="489"/>
      <c r="O19" s="489"/>
      <c r="P19" s="489"/>
      <c r="Q19" s="489"/>
      <c r="R19" s="489"/>
      <c r="S19" s="489"/>
      <c r="T19" s="489"/>
      <c r="U19" s="11"/>
      <c r="V19" s="11"/>
      <c r="W19" s="11"/>
      <c r="X19" s="11"/>
      <c r="Y19" s="490" t="s">
        <v>500</v>
      </c>
      <c r="Z19" s="490"/>
      <c r="AA19" s="490"/>
      <c r="AB19" s="490"/>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2"/>
    </row>
    <row r="20" spans="1:53" ht="30" customHeight="1" x14ac:dyDescent="0.25">
      <c r="A20" s="6">
        <f>'Project Information'!$B$9</f>
        <v>2028</v>
      </c>
      <c r="B20" s="22">
        <f>$B$16*2*($S$24+$T$24+$AA$24+$AB$24)</f>
        <v>2029141.5799999998</v>
      </c>
      <c r="C20" s="22">
        <f>$B$16*2*($S$24+$T$24+$AC$31+$AD$31)</f>
        <v>1251517.4749999999</v>
      </c>
      <c r="D20" s="26">
        <f>B20-C20</f>
        <v>777624.10499999998</v>
      </c>
      <c r="G20" s="13"/>
      <c r="H20" s="482" t="s">
        <v>398</v>
      </c>
      <c r="I20" s="483"/>
      <c r="J20" s="482" t="s">
        <v>396</v>
      </c>
      <c r="K20" s="483"/>
      <c r="L20" s="239" t="s">
        <v>385</v>
      </c>
      <c r="M20" s="484" t="s">
        <v>390</v>
      </c>
      <c r="N20" s="478" t="s">
        <v>391</v>
      </c>
      <c r="O20" s="478" t="s">
        <v>395</v>
      </c>
      <c r="P20" s="478" t="s">
        <v>400</v>
      </c>
      <c r="Q20" s="480" t="s">
        <v>421</v>
      </c>
      <c r="R20" s="480" t="s">
        <v>508</v>
      </c>
      <c r="S20" s="480" t="s">
        <v>414</v>
      </c>
      <c r="T20" s="480" t="s">
        <v>415</v>
      </c>
      <c r="U20"/>
      <c r="V20"/>
      <c r="W20"/>
      <c r="X20"/>
      <c r="Y20" s="491" t="s">
        <v>457</v>
      </c>
      <c r="Z20" s="493" t="s">
        <v>460</v>
      </c>
      <c r="AA20" s="495" t="s">
        <v>470</v>
      </c>
      <c r="AB20" s="493" t="s">
        <v>462</v>
      </c>
      <c r="AC20"/>
      <c r="AD20"/>
      <c r="AE20"/>
      <c r="AF20"/>
      <c r="AG20"/>
      <c r="AH20"/>
      <c r="AI20"/>
      <c r="AJ20"/>
      <c r="AK20"/>
      <c r="AL20"/>
      <c r="AM20"/>
      <c r="AN20"/>
      <c r="AO20"/>
      <c r="AP20"/>
      <c r="AQ20"/>
      <c r="AR20"/>
      <c r="AS20"/>
      <c r="AT20"/>
      <c r="AU20"/>
      <c r="AV20"/>
      <c r="AW20"/>
      <c r="AX20"/>
      <c r="AY20"/>
      <c r="AZ20"/>
      <c r="BA20" s="14"/>
    </row>
    <row r="21" spans="1:53" ht="15.75" thickBot="1" x14ac:dyDescent="0.3">
      <c r="A21" s="1">
        <f>IF(A20&lt;'Project Information'!B$11,A20+1,"")</f>
        <v>2029</v>
      </c>
      <c r="B21" s="22">
        <f>$B$16*2*($S$24+$T$24+$AA$24+$AB$24)</f>
        <v>2029141.5799999998</v>
      </c>
      <c r="C21" s="22">
        <f>$B$16*2*($S$24+$T$24+$AC$31+$AD$31)</f>
        <v>1251517.4749999999</v>
      </c>
      <c r="D21" s="8">
        <f t="shared" ref="D21:D49" si="0">B21-C21</f>
        <v>777624.10499999998</v>
      </c>
      <c r="G21" s="15"/>
      <c r="H21" s="218" t="s">
        <v>386</v>
      </c>
      <c r="I21" s="219" t="s">
        <v>387</v>
      </c>
      <c r="J21" s="218" t="s">
        <v>386</v>
      </c>
      <c r="K21" s="226" t="s">
        <v>388</v>
      </c>
      <c r="L21" s="230" t="s">
        <v>389</v>
      </c>
      <c r="M21" s="485"/>
      <c r="N21" s="479"/>
      <c r="O21" s="479"/>
      <c r="P21" s="479"/>
      <c r="Q21" s="481"/>
      <c r="R21" s="481"/>
      <c r="S21" s="481"/>
      <c r="T21" s="481"/>
      <c r="U21"/>
      <c r="V21"/>
      <c r="W21"/>
      <c r="X21"/>
      <c r="Y21" s="492"/>
      <c r="Z21" s="494"/>
      <c r="AA21" s="496"/>
      <c r="AB21" s="494"/>
      <c r="AC21"/>
      <c r="AD21"/>
      <c r="AE21"/>
      <c r="AF21"/>
      <c r="AG21"/>
      <c r="AH21"/>
      <c r="AI21"/>
      <c r="AJ21"/>
      <c r="AK21"/>
      <c r="AL21"/>
      <c r="AM21"/>
      <c r="AN21"/>
      <c r="AO21"/>
      <c r="AP21"/>
      <c r="AQ21"/>
      <c r="AR21"/>
      <c r="AS21"/>
      <c r="AT21"/>
      <c r="AU21"/>
      <c r="AV21"/>
      <c r="AW21"/>
      <c r="AX21"/>
      <c r="AY21"/>
      <c r="AZ21"/>
      <c r="BA21" s="14"/>
    </row>
    <row r="22" spans="1:53" x14ac:dyDescent="0.25">
      <c r="A22" s="1">
        <f>IF(A21&lt;'Project Information'!B$11,A21+1,"")</f>
        <v>2030</v>
      </c>
      <c r="B22" s="22">
        <f>$B$16*2*($S$31+$T$31+$AA$31+$AB$31)</f>
        <v>2950058.48</v>
      </c>
      <c r="C22" s="22">
        <f>$B$16*2*($V$31+$W$31+$AC$31+$AD$31)</f>
        <v>1251517.4749999999</v>
      </c>
      <c r="D22" s="8">
        <f t="shared" si="0"/>
        <v>1698541.0050000001</v>
      </c>
      <c r="G22" s="13" t="s">
        <v>392</v>
      </c>
      <c r="H22" s="220">
        <v>80</v>
      </c>
      <c r="I22" s="221">
        <v>27</v>
      </c>
      <c r="J22" s="227">
        <v>0</v>
      </c>
      <c r="K22" s="240">
        <v>6.4</v>
      </c>
      <c r="L22" s="231">
        <v>2</v>
      </c>
      <c r="M22" s="220">
        <f>SUM(H22:L22)</f>
        <v>115.4</v>
      </c>
      <c r="N22" s="242">
        <v>0.6</v>
      </c>
      <c r="O22" s="234">
        <f>N22*365</f>
        <v>219</v>
      </c>
      <c r="P22" s="234">
        <f>'Parameter Values'!$B$248</f>
        <v>40.5</v>
      </c>
      <c r="Q22" s="235">
        <f>O22*P22</f>
        <v>8869.5</v>
      </c>
      <c r="R22" s="235"/>
      <c r="S22" s="235"/>
      <c r="T22" s="235"/>
      <c r="U22"/>
      <c r="V22"/>
      <c r="W22"/>
      <c r="X22"/>
      <c r="Y22" s="279" t="s">
        <v>458</v>
      </c>
      <c r="Z22" s="275">
        <f>'Parameter Values'!B250*365</f>
        <v>730</v>
      </c>
      <c r="AA22" s="272">
        <f>Z22*5</f>
        <v>3650</v>
      </c>
      <c r="AB22" s="272">
        <f>(Z22*'Parameter Values'!B248)/M36</f>
        <v>2956.5</v>
      </c>
      <c r="AC22"/>
      <c r="AD22"/>
      <c r="AE22"/>
      <c r="AF22"/>
      <c r="AG22"/>
      <c r="AH22"/>
      <c r="AI22"/>
      <c r="AJ22"/>
      <c r="AK22"/>
      <c r="AL22"/>
      <c r="AM22"/>
      <c r="AN22"/>
      <c r="AO22"/>
      <c r="AP22"/>
      <c r="AQ22"/>
      <c r="AR22"/>
      <c r="AS22"/>
      <c r="AT22"/>
      <c r="AU22"/>
      <c r="AV22"/>
      <c r="AW22"/>
      <c r="AX22"/>
      <c r="AY22"/>
      <c r="AZ22"/>
      <c r="BA22" s="14"/>
    </row>
    <row r="23" spans="1:53" x14ac:dyDescent="0.25">
      <c r="A23" s="1">
        <f>IF(A22&lt;'Project Information'!B$11,A22+1,"")</f>
        <v>2031</v>
      </c>
      <c r="B23" s="22">
        <f t="shared" ref="B23:B44" si="1">$B$16*2*($S$31+$T$31+$AA$31+$AB$31)</f>
        <v>2950058.48</v>
      </c>
      <c r="C23" s="22">
        <f t="shared" ref="C23:C44" si="2">$B$16*2*($V$31+$W$31+$AC$31+$AD$31)</f>
        <v>1251517.4749999999</v>
      </c>
      <c r="D23" s="8">
        <f t="shared" si="0"/>
        <v>1698541.0050000001</v>
      </c>
      <c r="G23" s="216" t="s">
        <v>393</v>
      </c>
      <c r="H23" s="222">
        <v>80</v>
      </c>
      <c r="I23" s="223">
        <v>27</v>
      </c>
      <c r="J23" s="228">
        <v>0</v>
      </c>
      <c r="K23" s="241">
        <v>6.4</v>
      </c>
      <c r="L23" s="232">
        <v>2</v>
      </c>
      <c r="M23" s="222">
        <f>SUM(H23:L23)</f>
        <v>115.4</v>
      </c>
      <c r="N23" s="243">
        <v>0.6</v>
      </c>
      <c r="O23" s="217">
        <f>N23*365</f>
        <v>219</v>
      </c>
      <c r="P23" s="217">
        <f>'Parameter Values'!$B$248</f>
        <v>40.5</v>
      </c>
      <c r="Q23" s="236">
        <f t="shared" ref="Q23" si="3">O23*P23</f>
        <v>8869.5</v>
      </c>
      <c r="R23" s="236"/>
      <c r="S23" s="236"/>
      <c r="T23" s="236"/>
      <c r="U23"/>
      <c r="V23"/>
      <c r="W23"/>
      <c r="X23"/>
      <c r="Y23" s="280" t="s">
        <v>459</v>
      </c>
      <c r="Z23" s="276">
        <f>'Parameter Values'!B251*365</f>
        <v>730</v>
      </c>
      <c r="AA23" s="273">
        <f>Z23*5</f>
        <v>3650</v>
      </c>
      <c r="AB23" s="273">
        <f>(Z23*'Parameter Values'!B249)/M37</f>
        <v>2969.64</v>
      </c>
      <c r="AC23"/>
      <c r="AD23"/>
      <c r="AE23"/>
      <c r="AF23"/>
      <c r="AG23"/>
      <c r="AH23"/>
      <c r="AI23"/>
      <c r="AJ23"/>
      <c r="AK23"/>
      <c r="AL23"/>
      <c r="AM23"/>
      <c r="AN23"/>
      <c r="AO23"/>
      <c r="AP23"/>
      <c r="AQ23"/>
      <c r="AR23"/>
      <c r="AS23"/>
      <c r="AT23"/>
      <c r="AU23"/>
      <c r="AV23"/>
      <c r="AW23"/>
      <c r="AX23"/>
      <c r="AY23"/>
      <c r="AZ23"/>
      <c r="BA23" s="14"/>
    </row>
    <row r="24" spans="1:53" x14ac:dyDescent="0.25">
      <c r="A24" s="1">
        <f>IF(A23&lt;'Project Information'!B$11,A23+1,"")</f>
        <v>2032</v>
      </c>
      <c r="B24" s="22">
        <f t="shared" si="1"/>
        <v>2950058.48</v>
      </c>
      <c r="C24" s="22">
        <f t="shared" si="2"/>
        <v>1251517.4749999999</v>
      </c>
      <c r="D24" s="8">
        <f t="shared" si="0"/>
        <v>1698541.0050000001</v>
      </c>
      <c r="G24" s="215" t="s">
        <v>394</v>
      </c>
      <c r="H24" s="224">
        <f>SUM(H22:H23)</f>
        <v>160</v>
      </c>
      <c r="I24" s="225">
        <f t="shared" ref="I24:Q24" si="4">SUM(I22:I23)</f>
        <v>54</v>
      </c>
      <c r="J24" s="229">
        <f t="shared" si="4"/>
        <v>0</v>
      </c>
      <c r="K24" s="245">
        <f t="shared" si="4"/>
        <v>12.8</v>
      </c>
      <c r="L24" s="233">
        <f t="shared" si="4"/>
        <v>4</v>
      </c>
      <c r="M24" s="224">
        <f t="shared" si="4"/>
        <v>230.8</v>
      </c>
      <c r="N24" s="244">
        <f t="shared" si="4"/>
        <v>1.2</v>
      </c>
      <c r="O24" s="237">
        <f t="shared" si="4"/>
        <v>438</v>
      </c>
      <c r="P24" s="237">
        <f t="shared" si="4"/>
        <v>81</v>
      </c>
      <c r="Q24" s="238">
        <f t="shared" si="4"/>
        <v>17739</v>
      </c>
      <c r="R24" s="238">
        <f>M36</f>
        <v>10</v>
      </c>
      <c r="S24" s="238">
        <f>5*O24</f>
        <v>2190</v>
      </c>
      <c r="T24" s="238">
        <f>(O24*P24)/R24</f>
        <v>3547.8</v>
      </c>
      <c r="U24"/>
      <c r="V24"/>
      <c r="W24"/>
      <c r="X24"/>
      <c r="Y24" s="281" t="s">
        <v>394</v>
      </c>
      <c r="Z24" s="277">
        <f>SUM(Z22:Z23)</f>
        <v>1460</v>
      </c>
      <c r="AA24" s="274">
        <f>SUM(AA22:AA23)</f>
        <v>7300</v>
      </c>
      <c r="AB24" s="274">
        <f>SUM(AB22:AB23)</f>
        <v>5926.1399999999994</v>
      </c>
      <c r="AC24"/>
      <c r="AD24"/>
      <c r="AE24"/>
      <c r="AF24"/>
      <c r="AG24"/>
      <c r="AH24"/>
      <c r="AI24"/>
      <c r="AJ24"/>
      <c r="AK24"/>
      <c r="AL24"/>
      <c r="AM24"/>
      <c r="AN24"/>
      <c r="AO24"/>
      <c r="AP24"/>
      <c r="AQ24"/>
      <c r="AR24"/>
      <c r="AS24"/>
      <c r="AT24"/>
      <c r="AU24"/>
      <c r="AV24"/>
      <c r="AW24"/>
      <c r="AX24"/>
      <c r="AY24"/>
      <c r="AZ24"/>
      <c r="BA24" s="14"/>
    </row>
    <row r="25" spans="1:53" ht="15.75" thickBot="1" x14ac:dyDescent="0.3">
      <c r="A25" s="1">
        <f>IF(A24&lt;'Project Information'!B$11,A24+1,"")</f>
        <v>2033</v>
      </c>
      <c r="B25" s="22">
        <f t="shared" si="1"/>
        <v>2950058.48</v>
      </c>
      <c r="C25" s="22">
        <f t="shared" si="2"/>
        <v>1251517.4749999999</v>
      </c>
      <c r="D25" s="8">
        <f>B30-C30</f>
        <v>1698541.0050000001</v>
      </c>
      <c r="G25" s="13"/>
      <c r="H25" s="175"/>
      <c r="I25"/>
      <c r="J25"/>
      <c r="K25" s="174"/>
      <c r="L25"/>
      <c r="M25"/>
      <c r="N25"/>
      <c r="O25"/>
      <c r="P25"/>
      <c r="Q25"/>
      <c r="R25" s="213"/>
      <c r="S25"/>
      <c r="T25"/>
      <c r="U25"/>
      <c r="V25"/>
      <c r="W25"/>
      <c r="X25"/>
      <c r="Y25" s="278"/>
      <c r="Z25" s="278"/>
      <c r="AA25" s="278"/>
      <c r="AB25"/>
      <c r="AC25"/>
      <c r="AD25"/>
      <c r="AE25"/>
      <c r="AF25"/>
      <c r="AG25"/>
      <c r="AH25"/>
      <c r="AI25"/>
      <c r="AJ25"/>
      <c r="AK25"/>
      <c r="AL25"/>
      <c r="AM25"/>
      <c r="AN25"/>
      <c r="AO25"/>
      <c r="AP25"/>
      <c r="AQ25"/>
      <c r="AR25"/>
      <c r="AS25"/>
      <c r="AT25"/>
      <c r="AU25"/>
      <c r="AV25"/>
      <c r="AW25"/>
      <c r="AX25"/>
      <c r="AY25"/>
      <c r="AZ25"/>
      <c r="BA25" s="14"/>
    </row>
    <row r="26" spans="1:53" x14ac:dyDescent="0.25">
      <c r="A26" s="1">
        <f>IF(A25&lt;'Project Information'!B$11,A25+1,"")</f>
        <v>2034</v>
      </c>
      <c r="B26" s="22">
        <f t="shared" si="1"/>
        <v>2950058.48</v>
      </c>
      <c r="C26" s="22">
        <f t="shared" si="2"/>
        <v>1251517.4749999999</v>
      </c>
      <c r="D26" s="8">
        <f t="shared" si="0"/>
        <v>1698541.0050000001</v>
      </c>
      <c r="G26" s="214" t="s">
        <v>409</v>
      </c>
      <c r="H26" s="11"/>
      <c r="I26" s="11"/>
      <c r="J26" s="11"/>
      <c r="K26" s="11"/>
      <c r="L26" s="11"/>
      <c r="M26" s="489" t="s">
        <v>463</v>
      </c>
      <c r="N26" s="489"/>
      <c r="O26" s="489"/>
      <c r="P26" s="489"/>
      <c r="Q26" s="489"/>
      <c r="R26" s="489"/>
      <c r="S26" s="489"/>
      <c r="T26" s="489"/>
      <c r="U26" s="489"/>
      <c r="V26" s="489"/>
      <c r="W26" s="489"/>
      <c r="X26" s="11"/>
      <c r="Y26" s="490" t="s">
        <v>500</v>
      </c>
      <c r="Z26" s="490"/>
      <c r="AA26" s="490"/>
      <c r="AB26" s="490"/>
      <c r="AC26" s="490"/>
      <c r="AD26" s="490"/>
      <c r="AE26"/>
      <c r="AF26"/>
      <c r="AG26"/>
      <c r="AH26"/>
      <c r="AI26"/>
      <c r="AJ26"/>
      <c r="AK26"/>
      <c r="AL26"/>
      <c r="AM26"/>
      <c r="AN26"/>
      <c r="AO26"/>
      <c r="AP26"/>
      <c r="AQ26"/>
      <c r="AR26"/>
      <c r="AS26"/>
      <c r="AT26"/>
      <c r="AU26"/>
      <c r="AV26"/>
      <c r="AW26"/>
      <c r="AX26"/>
      <c r="AY26"/>
      <c r="AZ26"/>
      <c r="BA26" s="14"/>
    </row>
    <row r="27" spans="1:53" ht="30" customHeight="1" x14ac:dyDescent="0.25">
      <c r="A27" s="1">
        <f>IF(A26&lt;'Project Information'!B$11,A26+1,"")</f>
        <v>2035</v>
      </c>
      <c r="B27" s="22">
        <f t="shared" si="1"/>
        <v>2950058.48</v>
      </c>
      <c r="C27" s="22">
        <f t="shared" si="2"/>
        <v>1251517.4749999999</v>
      </c>
      <c r="D27" s="8">
        <f t="shared" si="0"/>
        <v>1698541.0050000001</v>
      </c>
      <c r="G27" s="13"/>
      <c r="H27" s="482" t="s">
        <v>407</v>
      </c>
      <c r="I27" s="483"/>
      <c r="J27" s="482" t="s">
        <v>397</v>
      </c>
      <c r="K27" s="483"/>
      <c r="L27" s="239" t="s">
        <v>385</v>
      </c>
      <c r="M27" s="484" t="s">
        <v>390</v>
      </c>
      <c r="N27" s="478" t="s">
        <v>391</v>
      </c>
      <c r="O27" s="478" t="s">
        <v>395</v>
      </c>
      <c r="P27" s="478" t="s">
        <v>400</v>
      </c>
      <c r="Q27" s="480" t="s">
        <v>421</v>
      </c>
      <c r="R27" s="480" t="s">
        <v>509</v>
      </c>
      <c r="S27" s="480" t="s">
        <v>405</v>
      </c>
      <c r="T27" s="480" t="s">
        <v>402</v>
      </c>
      <c r="U27" s="476" t="s">
        <v>510</v>
      </c>
      <c r="V27" s="480" t="s">
        <v>406</v>
      </c>
      <c r="W27" s="476" t="s">
        <v>401</v>
      </c>
      <c r="X27"/>
      <c r="Y27" s="491" t="s">
        <v>457</v>
      </c>
      <c r="Z27" s="493" t="s">
        <v>460</v>
      </c>
      <c r="AA27" s="495" t="s">
        <v>470</v>
      </c>
      <c r="AB27" s="495" t="s">
        <v>462</v>
      </c>
      <c r="AC27" s="497" t="s">
        <v>469</v>
      </c>
      <c r="AD27" s="493" t="s">
        <v>461</v>
      </c>
      <c r="AE27"/>
      <c r="AF27"/>
      <c r="AG27"/>
      <c r="AH27"/>
      <c r="AI27"/>
      <c r="AJ27"/>
      <c r="AK27"/>
      <c r="AL27"/>
      <c r="AM27"/>
      <c r="AN27"/>
      <c r="AO27"/>
      <c r="AP27"/>
      <c r="AQ27"/>
      <c r="AR27"/>
      <c r="AS27"/>
      <c r="AT27"/>
      <c r="AU27"/>
      <c r="AV27"/>
      <c r="AW27"/>
      <c r="AX27"/>
      <c r="AY27"/>
      <c r="AZ27"/>
      <c r="BA27" s="14"/>
    </row>
    <row r="28" spans="1:53" ht="15.75" thickBot="1" x14ac:dyDescent="0.3">
      <c r="A28" s="1">
        <f>IF(A27&lt;'Project Information'!B$11,A27+1,"")</f>
        <v>2036</v>
      </c>
      <c r="B28" s="22">
        <f t="shared" si="1"/>
        <v>2950058.48</v>
      </c>
      <c r="C28" s="22">
        <f t="shared" si="2"/>
        <v>1251517.4749999999</v>
      </c>
      <c r="D28" s="8">
        <f t="shared" si="0"/>
        <v>1698541.0050000001</v>
      </c>
      <c r="G28" s="15"/>
      <c r="H28" s="218" t="s">
        <v>386</v>
      </c>
      <c r="I28" s="219" t="s">
        <v>387</v>
      </c>
      <c r="J28" s="218" t="s">
        <v>386</v>
      </c>
      <c r="K28" s="226" t="s">
        <v>388</v>
      </c>
      <c r="L28" s="230" t="s">
        <v>389</v>
      </c>
      <c r="M28" s="485"/>
      <c r="N28" s="479"/>
      <c r="O28" s="479"/>
      <c r="P28" s="479"/>
      <c r="Q28" s="481"/>
      <c r="R28" s="481"/>
      <c r="S28" s="481"/>
      <c r="T28" s="481"/>
      <c r="U28" s="477"/>
      <c r="V28" s="481"/>
      <c r="W28" s="477"/>
      <c r="X28"/>
      <c r="Y28" s="492"/>
      <c r="Z28" s="494"/>
      <c r="AA28" s="496"/>
      <c r="AB28" s="496"/>
      <c r="AC28" s="498"/>
      <c r="AD28" s="494"/>
      <c r="AE28"/>
      <c r="AF28"/>
      <c r="AG28"/>
      <c r="AH28"/>
      <c r="AI28"/>
      <c r="AJ28"/>
      <c r="AK28"/>
      <c r="AL28"/>
      <c r="AM28"/>
      <c r="AN28"/>
      <c r="AO28"/>
      <c r="AP28"/>
      <c r="AQ28"/>
      <c r="AR28"/>
      <c r="AS28"/>
      <c r="AT28"/>
      <c r="AU28"/>
      <c r="AV28"/>
      <c r="AW28"/>
      <c r="AX28"/>
      <c r="AY28"/>
      <c r="AZ28"/>
      <c r="BA28" s="14"/>
    </row>
    <row r="29" spans="1:53" x14ac:dyDescent="0.25">
      <c r="A29" s="1">
        <f>IF(A28&lt;'Project Information'!B$11,A28+1,"")</f>
        <v>2037</v>
      </c>
      <c r="B29" s="22">
        <f t="shared" si="1"/>
        <v>2950058.48</v>
      </c>
      <c r="C29" s="22">
        <f t="shared" si="2"/>
        <v>1251517.4749999999</v>
      </c>
      <c r="D29" s="8">
        <f t="shared" si="0"/>
        <v>1698541.0050000001</v>
      </c>
      <c r="G29" s="13" t="s">
        <v>392</v>
      </c>
      <c r="H29" s="220">
        <v>176</v>
      </c>
      <c r="I29" s="221">
        <v>81</v>
      </c>
      <c r="J29" s="227">
        <v>48</v>
      </c>
      <c r="K29" s="221">
        <v>12</v>
      </c>
      <c r="L29" s="231">
        <v>2</v>
      </c>
      <c r="M29" s="220">
        <f>SUM(H29:L29)</f>
        <v>319</v>
      </c>
      <c r="N29" s="242">
        <v>1.5</v>
      </c>
      <c r="O29" s="234">
        <f>N29*365</f>
        <v>547.5</v>
      </c>
      <c r="P29" s="234">
        <f>'Parameter Values'!$B$248</f>
        <v>40.5</v>
      </c>
      <c r="Q29" s="235">
        <f>O29*P29</f>
        <v>22173.75</v>
      </c>
      <c r="R29" s="235"/>
      <c r="S29" s="235"/>
      <c r="T29" s="235"/>
      <c r="U29" s="235"/>
      <c r="V29" s="235"/>
      <c r="W29" s="235"/>
      <c r="X29"/>
      <c r="Y29" s="279" t="s">
        <v>458</v>
      </c>
      <c r="Z29" s="275">
        <f>'Parameter Values'!B250*365</f>
        <v>730</v>
      </c>
      <c r="AA29" s="275">
        <f>Z29*5</f>
        <v>3650</v>
      </c>
      <c r="AB29" s="275">
        <f>(Z29*'Parameter Values'!B248)/M36</f>
        <v>2956.5</v>
      </c>
      <c r="AC29" s="288">
        <f>Z29*2</f>
        <v>1460</v>
      </c>
      <c r="AD29" s="272">
        <f>(Z29*'Parameter Values'!B248)/M37</f>
        <v>1182.5999999999999</v>
      </c>
      <c r="AE29"/>
      <c r="AF29"/>
      <c r="AG29"/>
      <c r="AH29"/>
      <c r="AI29"/>
      <c r="AJ29"/>
      <c r="AK29"/>
      <c r="AL29"/>
      <c r="AM29"/>
      <c r="AN29"/>
      <c r="AO29"/>
      <c r="AP29"/>
      <c r="AQ29"/>
      <c r="AR29"/>
      <c r="AS29"/>
      <c r="AT29"/>
      <c r="AU29"/>
      <c r="AV29"/>
      <c r="AW29"/>
      <c r="AX29"/>
      <c r="AY29"/>
      <c r="AZ29"/>
      <c r="BA29" s="14"/>
    </row>
    <row r="30" spans="1:53" x14ac:dyDescent="0.25">
      <c r="A30" s="1">
        <f>IF(A29&lt;'Project Information'!B$11,A29+1,"")</f>
        <v>2038</v>
      </c>
      <c r="B30" s="22">
        <f t="shared" si="1"/>
        <v>2950058.48</v>
      </c>
      <c r="C30" s="22">
        <f t="shared" si="2"/>
        <v>1251517.4749999999</v>
      </c>
      <c r="D30" s="8">
        <f t="shared" si="0"/>
        <v>1698541.0050000001</v>
      </c>
      <c r="G30" s="216" t="s">
        <v>393</v>
      </c>
      <c r="H30" s="222">
        <v>176</v>
      </c>
      <c r="I30" s="223">
        <v>81</v>
      </c>
      <c r="J30" s="228">
        <v>48</v>
      </c>
      <c r="K30" s="223">
        <v>12</v>
      </c>
      <c r="L30" s="232">
        <v>2</v>
      </c>
      <c r="M30" s="222">
        <f>SUM(H30:L30)</f>
        <v>319</v>
      </c>
      <c r="N30" s="243">
        <v>1.5</v>
      </c>
      <c r="O30" s="217">
        <f>N30*365</f>
        <v>547.5</v>
      </c>
      <c r="P30" s="217">
        <f>'Parameter Values'!$B$248</f>
        <v>40.5</v>
      </c>
      <c r="Q30" s="236">
        <f t="shared" ref="Q30" si="5">O30*P30</f>
        <v>22173.75</v>
      </c>
      <c r="R30" s="236"/>
      <c r="S30" s="236"/>
      <c r="T30" s="236"/>
      <c r="U30" s="236"/>
      <c r="V30" s="236"/>
      <c r="W30" s="236"/>
      <c r="X30"/>
      <c r="Y30" s="280" t="s">
        <v>459</v>
      </c>
      <c r="Z30" s="276">
        <f>'Parameter Values'!B251*365</f>
        <v>730</v>
      </c>
      <c r="AA30" s="276">
        <f>Z30*5</f>
        <v>3650</v>
      </c>
      <c r="AB30" s="276">
        <f>(Z30*'Parameter Values'!B249)/M37</f>
        <v>2969.64</v>
      </c>
      <c r="AC30" s="289">
        <f>Z30*2</f>
        <v>1460</v>
      </c>
      <c r="AD30" s="273">
        <f>(Z30*'Parameter Values'!B249)/M38</f>
        <v>1856.0250000000001</v>
      </c>
      <c r="AE30"/>
      <c r="AF30"/>
      <c r="AG30"/>
      <c r="AH30"/>
      <c r="AI30"/>
      <c r="AJ30"/>
      <c r="AK30"/>
      <c r="AL30"/>
      <c r="AM30"/>
      <c r="AN30"/>
      <c r="AO30"/>
      <c r="AP30"/>
      <c r="AQ30"/>
      <c r="AR30"/>
      <c r="AS30"/>
      <c r="AT30"/>
      <c r="AU30"/>
      <c r="AV30"/>
      <c r="AW30"/>
      <c r="AX30"/>
      <c r="AY30"/>
      <c r="AZ30"/>
      <c r="BA30" s="14"/>
    </row>
    <row r="31" spans="1:53" x14ac:dyDescent="0.25">
      <c r="A31" s="1">
        <f>IF(A30&lt;'Project Information'!B$11,A30+1,"")</f>
        <v>2039</v>
      </c>
      <c r="B31" s="22">
        <f t="shared" si="1"/>
        <v>2950058.48</v>
      </c>
      <c r="C31" s="22">
        <f t="shared" si="2"/>
        <v>1251517.4749999999</v>
      </c>
      <c r="D31" s="8">
        <f t="shared" si="0"/>
        <v>1698541.0050000001</v>
      </c>
      <c r="G31" s="215" t="s">
        <v>394</v>
      </c>
      <c r="H31" s="224">
        <f>SUM(H29:H30)</f>
        <v>352</v>
      </c>
      <c r="I31" s="225">
        <f t="shared" ref="I31:Q31" si="6">SUM(I29:I30)</f>
        <v>162</v>
      </c>
      <c r="J31" s="229">
        <f t="shared" si="6"/>
        <v>96</v>
      </c>
      <c r="K31" s="225">
        <f t="shared" si="6"/>
        <v>24</v>
      </c>
      <c r="L31" s="233">
        <f t="shared" si="6"/>
        <v>4</v>
      </c>
      <c r="M31" s="224">
        <f t="shared" si="6"/>
        <v>638</v>
      </c>
      <c r="N31" s="244">
        <f t="shared" si="6"/>
        <v>3</v>
      </c>
      <c r="O31" s="237">
        <f t="shared" si="6"/>
        <v>1095</v>
      </c>
      <c r="P31" s="237">
        <f t="shared" si="6"/>
        <v>81</v>
      </c>
      <c r="Q31" s="238">
        <f t="shared" si="6"/>
        <v>44347.5</v>
      </c>
      <c r="R31" s="238">
        <f>M36</f>
        <v>10</v>
      </c>
      <c r="S31" s="238">
        <f>5*O31</f>
        <v>5475</v>
      </c>
      <c r="T31" s="238">
        <f>(O31*P31)/R31</f>
        <v>8869.5</v>
      </c>
      <c r="U31" s="238">
        <f>M37</f>
        <v>25</v>
      </c>
      <c r="V31" s="238">
        <f>2*O31</f>
        <v>2190</v>
      </c>
      <c r="W31" s="238">
        <f>(O31*P31)/U31</f>
        <v>3547.8</v>
      </c>
      <c r="X31"/>
      <c r="Y31" s="281" t="s">
        <v>394</v>
      </c>
      <c r="Z31" s="277">
        <f>SUM(Z29:Z30)</f>
        <v>1460</v>
      </c>
      <c r="AA31" s="277">
        <f>SUM(AA29:AA30)</f>
        <v>7300</v>
      </c>
      <c r="AB31" s="277">
        <f>SUM(AB29:AB30)</f>
        <v>5926.1399999999994</v>
      </c>
      <c r="AC31" s="290">
        <f>SUM(AC29:AC30)</f>
        <v>2920</v>
      </c>
      <c r="AD31" s="274">
        <f>SUM(AD29:AD30)</f>
        <v>3038.625</v>
      </c>
      <c r="AE31"/>
      <c r="AF31"/>
      <c r="AG31"/>
      <c r="AH31"/>
      <c r="AI31"/>
      <c r="AJ31"/>
      <c r="AK31"/>
      <c r="AL31"/>
      <c r="AM31"/>
      <c r="AN31"/>
      <c r="AO31"/>
      <c r="AP31"/>
      <c r="AQ31"/>
      <c r="AR31"/>
      <c r="AS31"/>
      <c r="AT31"/>
      <c r="AU31"/>
      <c r="AV31"/>
      <c r="AW31"/>
      <c r="AX31"/>
      <c r="AY31"/>
      <c r="AZ31"/>
      <c r="BA31" s="14"/>
    </row>
    <row r="32" spans="1:53" x14ac:dyDescent="0.25">
      <c r="A32" s="1">
        <f>IF(A31&lt;'Project Information'!B$11,A31+1,"")</f>
        <v>2040</v>
      </c>
      <c r="B32" s="22">
        <f t="shared" si="1"/>
        <v>2950058.48</v>
      </c>
      <c r="C32" s="22">
        <f>$B$16*2*($V$31+$W$31+$AC$31+$AD$31)</f>
        <v>1251517.4749999999</v>
      </c>
      <c r="D32" s="8">
        <f t="shared" si="0"/>
        <v>1698541.0050000001</v>
      </c>
      <c r="G32" s="13"/>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s="14"/>
    </row>
    <row r="33" spans="1:54" x14ac:dyDescent="0.25">
      <c r="A33" s="1">
        <f>IF(A32&lt;'Project Information'!B$11,A32+1,"")</f>
        <v>2041</v>
      </c>
      <c r="B33" s="22">
        <f t="shared" si="1"/>
        <v>2950058.48</v>
      </c>
      <c r="C33" s="22">
        <f t="shared" si="2"/>
        <v>1251517.4749999999</v>
      </c>
      <c r="D33" s="8">
        <f t="shared" si="0"/>
        <v>1698541.0050000001</v>
      </c>
      <c r="G33" s="13"/>
      <c r="H33" s="249" t="s">
        <v>403</v>
      </c>
      <c r="I33" s="249"/>
      <c r="J33" s="249"/>
      <c r="K33" s="249"/>
      <c r="L33" s="249"/>
      <c r="M33" s="249"/>
      <c r="N33" s="249"/>
      <c r="O33" s="249"/>
      <c r="P33" s="249"/>
      <c r="Q33" s="249"/>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s="14"/>
    </row>
    <row r="34" spans="1:54" x14ac:dyDescent="0.25">
      <c r="A34" s="1">
        <f>IF(A33&lt;'Project Information'!B$11,A33+1,"")</f>
        <v>2042</v>
      </c>
      <c r="B34" s="22">
        <f t="shared" si="1"/>
        <v>2950058.48</v>
      </c>
      <c r="C34" s="22">
        <f t="shared" si="2"/>
        <v>1251517.4749999999</v>
      </c>
      <c r="D34" s="8">
        <f t="shared" si="0"/>
        <v>1698541.0050000001</v>
      </c>
      <c r="G34" s="13"/>
      <c r="H34" s="190" t="s">
        <v>408</v>
      </c>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s="14"/>
    </row>
    <row r="35" spans="1:54" x14ac:dyDescent="0.25">
      <c r="A35" s="1">
        <f>IF(A34&lt;'Project Information'!B$11,A34+1,"")</f>
        <v>2043</v>
      </c>
      <c r="B35" s="22">
        <f t="shared" si="1"/>
        <v>2950058.48</v>
      </c>
      <c r="C35" s="22">
        <f t="shared" si="2"/>
        <v>1251517.4749999999</v>
      </c>
      <c r="D35" s="8">
        <f t="shared" si="0"/>
        <v>1698541.0050000001</v>
      </c>
      <c r="G35" s="13"/>
      <c r="H35" s="248" t="s">
        <v>543</v>
      </c>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s="14"/>
    </row>
    <row r="36" spans="1:54" x14ac:dyDescent="0.25">
      <c r="A36" s="1">
        <f>IF(A35&lt;'Project Information'!B$11,A35+1,"")</f>
        <v>2044</v>
      </c>
      <c r="B36" s="22">
        <f t="shared" si="1"/>
        <v>2950058.48</v>
      </c>
      <c r="C36" s="22">
        <f t="shared" si="2"/>
        <v>1251517.4749999999</v>
      </c>
      <c r="D36" s="8">
        <f t="shared" si="0"/>
        <v>1698541.0050000001</v>
      </c>
      <c r="G36" s="13"/>
      <c r="H36" s="248" t="s">
        <v>542</v>
      </c>
      <c r="I36"/>
      <c r="J36"/>
      <c r="K36"/>
      <c r="L36"/>
      <c r="M36" s="439">
        <v>10</v>
      </c>
      <c r="N36" s="248" t="s">
        <v>539</v>
      </c>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s="14"/>
    </row>
    <row r="37" spans="1:54" x14ac:dyDescent="0.25">
      <c r="A37" s="1">
        <f>IF(A36&lt;'Project Information'!B$11,A36+1,"")</f>
        <v>2045</v>
      </c>
      <c r="B37" s="22">
        <f t="shared" si="1"/>
        <v>2950058.48</v>
      </c>
      <c r="C37" s="22">
        <f t="shared" si="2"/>
        <v>1251517.4749999999</v>
      </c>
      <c r="D37" s="8">
        <f t="shared" si="0"/>
        <v>1698541.0050000001</v>
      </c>
      <c r="G37" s="13"/>
      <c r="H37"/>
      <c r="I37" s="347"/>
      <c r="J37" s="347"/>
      <c r="K37"/>
      <c r="L37"/>
      <c r="M37" s="439">
        <v>25</v>
      </c>
      <c r="N37" s="248" t="s">
        <v>541</v>
      </c>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s="14"/>
    </row>
    <row r="38" spans="1:54" x14ac:dyDescent="0.25">
      <c r="A38" s="1">
        <f>IF(A37&lt;'Project Information'!B$11,A37+1,"")</f>
        <v>2046</v>
      </c>
      <c r="B38" s="22">
        <f t="shared" si="1"/>
        <v>2950058.48</v>
      </c>
      <c r="C38" s="22">
        <f t="shared" si="2"/>
        <v>1251517.4749999999</v>
      </c>
      <c r="D38" s="8">
        <f t="shared" si="0"/>
        <v>1698541.0050000001</v>
      </c>
      <c r="G38" s="13"/>
      <c r="H38"/>
      <c r="I38"/>
      <c r="J38"/>
      <c r="K38"/>
      <c r="L38"/>
      <c r="M38" s="439">
        <v>40</v>
      </c>
      <c r="N38" s="248" t="s">
        <v>540</v>
      </c>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s="14"/>
    </row>
    <row r="39" spans="1:54" x14ac:dyDescent="0.25">
      <c r="A39" s="1">
        <f>IF(A38&lt;'Project Information'!B$11,A38+1,"")</f>
        <v>2047</v>
      </c>
      <c r="B39" s="22">
        <f t="shared" si="1"/>
        <v>2950058.48</v>
      </c>
      <c r="C39" s="22">
        <f t="shared" si="2"/>
        <v>1251517.4749999999</v>
      </c>
      <c r="D39" s="8">
        <f t="shared" si="0"/>
        <v>1698541.0050000001</v>
      </c>
      <c r="G39" s="13"/>
      <c r="H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s="14"/>
    </row>
    <row r="40" spans="1:54" x14ac:dyDescent="0.25">
      <c r="A40" s="1">
        <f>IF(A39&lt;'Project Information'!B$11,A39+1,"")</f>
        <v>2048</v>
      </c>
      <c r="B40" s="22">
        <f t="shared" si="1"/>
        <v>2950058.48</v>
      </c>
      <c r="C40" s="22">
        <f t="shared" si="2"/>
        <v>1251517.4749999999</v>
      </c>
      <c r="D40" s="8">
        <f t="shared" si="0"/>
        <v>1698541.0050000001</v>
      </c>
      <c r="G40" s="13"/>
      <c r="H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s="14"/>
    </row>
    <row r="41" spans="1:54" x14ac:dyDescent="0.25">
      <c r="A41" s="1">
        <f>IF(A40&lt;'Project Information'!B$11,A40+1,"")</f>
        <v>2049</v>
      </c>
      <c r="B41" s="22">
        <f t="shared" si="1"/>
        <v>2950058.48</v>
      </c>
      <c r="C41" s="22">
        <f t="shared" si="2"/>
        <v>1251517.4749999999</v>
      </c>
      <c r="D41" s="8">
        <f t="shared" si="0"/>
        <v>1698541.0050000001</v>
      </c>
      <c r="G41" s="13"/>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s="14"/>
    </row>
    <row r="42" spans="1:54" x14ac:dyDescent="0.25">
      <c r="A42" s="1">
        <f>IF(A41&lt;'Project Information'!B$11,A41+1,"")</f>
        <v>2050</v>
      </c>
      <c r="B42" s="22">
        <f t="shared" si="1"/>
        <v>2950058.48</v>
      </c>
      <c r="C42" s="22">
        <f t="shared" si="2"/>
        <v>1251517.4749999999</v>
      </c>
      <c r="D42" s="8">
        <f t="shared" si="0"/>
        <v>1698541.0050000001</v>
      </c>
      <c r="G42" s="13"/>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s="14"/>
    </row>
    <row r="43" spans="1:54" x14ac:dyDescent="0.25">
      <c r="A43" s="1">
        <f>IF(A42&lt;'Project Information'!B$11,A42+1,"")</f>
        <v>2051</v>
      </c>
      <c r="B43" s="22">
        <f t="shared" si="1"/>
        <v>2950058.48</v>
      </c>
      <c r="C43" s="22">
        <f t="shared" si="2"/>
        <v>1251517.4749999999</v>
      </c>
      <c r="D43" s="8">
        <f t="shared" si="0"/>
        <v>1698541.0050000001</v>
      </c>
      <c r="G43" s="1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s="14"/>
    </row>
    <row r="44" spans="1:54" x14ac:dyDescent="0.25">
      <c r="A44" s="1">
        <f>IF(A43&lt;'Project Information'!B$11,A43+1,"")</f>
        <v>2052</v>
      </c>
      <c r="B44" s="22">
        <f t="shared" si="1"/>
        <v>2950058.48</v>
      </c>
      <c r="C44" s="22">
        <f t="shared" si="2"/>
        <v>1251517.4749999999</v>
      </c>
      <c r="D44" s="8">
        <f t="shared" si="0"/>
        <v>1698541.0050000001</v>
      </c>
      <c r="G44" s="13"/>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s="14"/>
    </row>
    <row r="45" spans="1:54" x14ac:dyDescent="0.25">
      <c r="A45" s="1" t="str">
        <f>IF(A44&lt;'Project Information'!B$11,A44+1,"")</f>
        <v/>
      </c>
      <c r="B45" s="22">
        <v>0</v>
      </c>
      <c r="C45" s="22">
        <v>0</v>
      </c>
      <c r="D45" s="8">
        <f t="shared" si="0"/>
        <v>0</v>
      </c>
      <c r="G45" s="13"/>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s="14"/>
    </row>
    <row r="46" spans="1:54" x14ac:dyDescent="0.25">
      <c r="A46" s="1" t="str">
        <f>IF(A45&lt;'Project Information'!B$11,A45+1,"")</f>
        <v/>
      </c>
      <c r="B46" s="22">
        <v>0</v>
      </c>
      <c r="C46" s="22">
        <v>0</v>
      </c>
      <c r="D46" s="8">
        <f t="shared" si="0"/>
        <v>0</v>
      </c>
      <c r="G46" s="13"/>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s="14"/>
    </row>
    <row r="47" spans="1:54" x14ac:dyDescent="0.25">
      <c r="A47" s="1" t="str">
        <f>IF(A46&lt;'Project Information'!B$11,A46+1,"")</f>
        <v/>
      </c>
      <c r="B47" s="22">
        <v>0</v>
      </c>
      <c r="C47" s="22">
        <v>0</v>
      </c>
      <c r="D47" s="8">
        <f t="shared" si="0"/>
        <v>0</v>
      </c>
      <c r="G47" s="13"/>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s="14"/>
    </row>
    <row r="48" spans="1:54" x14ac:dyDescent="0.25">
      <c r="A48" s="1" t="str">
        <f>IF(A47&lt;'Project Information'!B$11,A47+1,"")</f>
        <v/>
      </c>
      <c r="B48" s="22">
        <v>0</v>
      </c>
      <c r="C48" s="22">
        <v>0</v>
      </c>
      <c r="D48" s="8">
        <f t="shared" si="0"/>
        <v>0</v>
      </c>
      <c r="G48" s="13"/>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s="14"/>
    </row>
    <row r="49" spans="1:54" x14ac:dyDescent="0.25">
      <c r="A49" s="1" t="str">
        <f>IF(A48&lt;'Project Information'!B$11,A48+1,"")</f>
        <v/>
      </c>
      <c r="B49" s="22">
        <v>0</v>
      </c>
      <c r="C49" s="22">
        <v>0</v>
      </c>
      <c r="D49" s="9">
        <f t="shared" si="0"/>
        <v>0</v>
      </c>
      <c r="G49" s="13"/>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s="14"/>
    </row>
    <row r="50" spans="1:54" x14ac:dyDescent="0.25">
      <c r="A50" s="31"/>
      <c r="B50" s="32"/>
      <c r="C50" s="32"/>
      <c r="D50" s="29"/>
      <c r="G50" s="13"/>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s="14"/>
    </row>
    <row r="51" spans="1:54" x14ac:dyDescent="0.25">
      <c r="B51" s="28"/>
      <c r="C51" s="28"/>
      <c r="D51" s="29"/>
      <c r="G51" s="13"/>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s="14"/>
    </row>
    <row r="52" spans="1:54" x14ac:dyDescent="0.25">
      <c r="B52" s="28"/>
      <c r="C52" s="28"/>
      <c r="D52" s="29"/>
      <c r="G52" s="13"/>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s="14"/>
    </row>
    <row r="53" spans="1:54" x14ac:dyDescent="0.25">
      <c r="B53" s="28"/>
      <c r="C53" s="28"/>
      <c r="D53" s="29"/>
      <c r="G53" s="1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s="14"/>
    </row>
    <row r="54" spans="1:54" x14ac:dyDescent="0.25">
      <c r="B54" s="28"/>
      <c r="C54" s="28"/>
      <c r="D54" s="29"/>
      <c r="G54" s="13"/>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s="14"/>
    </row>
    <row r="55" spans="1:54" x14ac:dyDescent="0.25">
      <c r="B55" s="28"/>
      <c r="C55" s="28"/>
      <c r="D55" s="29"/>
      <c r="G55" s="13"/>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s="14"/>
    </row>
    <row r="56" spans="1:54" x14ac:dyDescent="0.25">
      <c r="B56" s="28"/>
      <c r="C56" s="28"/>
      <c r="D56" s="29"/>
      <c r="G56" s="13"/>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s="14"/>
    </row>
    <row r="57" spans="1:54" x14ac:dyDescent="0.25">
      <c r="B57" s="28"/>
      <c r="C57" s="28"/>
      <c r="D57" s="29"/>
      <c r="G57" s="13"/>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s="14"/>
    </row>
    <row r="58" spans="1:54" x14ac:dyDescent="0.25">
      <c r="B58" s="28"/>
      <c r="C58" s="28"/>
      <c r="D58" s="29"/>
      <c r="G58" s="13"/>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s="14"/>
    </row>
    <row r="59" spans="1:54" x14ac:dyDescent="0.25">
      <c r="B59" s="28"/>
      <c r="C59" s="28"/>
      <c r="D59" s="29"/>
      <c r="G59" s="13"/>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s="14"/>
    </row>
    <row r="60" spans="1:54" x14ac:dyDescent="0.25">
      <c r="G60" s="13"/>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s="14"/>
    </row>
    <row r="61" spans="1:54" x14ac:dyDescent="0.25">
      <c r="G61" s="13"/>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s="14"/>
    </row>
    <row r="62" spans="1:54" x14ac:dyDescent="0.25">
      <c r="G62" s="13"/>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s="14"/>
    </row>
    <row r="63" spans="1:54" x14ac:dyDescent="0.25">
      <c r="G63" s="1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s="14"/>
    </row>
    <row r="64" spans="1:54" x14ac:dyDescent="0.25">
      <c r="G64" s="13"/>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s="14"/>
    </row>
    <row r="65" spans="7:54" x14ac:dyDescent="0.25">
      <c r="G65" s="13"/>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s="14"/>
    </row>
    <row r="66" spans="7:54" x14ac:dyDescent="0.25">
      <c r="G66" s="13"/>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s="14"/>
    </row>
    <row r="67" spans="7:54" x14ac:dyDescent="0.25">
      <c r="G67" s="13"/>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s="14"/>
    </row>
    <row r="68" spans="7:54" x14ac:dyDescent="0.25">
      <c r="G68" s="13"/>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s="14"/>
    </row>
    <row r="69" spans="7:54" x14ac:dyDescent="0.25">
      <c r="G69" s="13"/>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s="14"/>
    </row>
    <row r="70" spans="7:54" x14ac:dyDescent="0.25">
      <c r="G70" s="13"/>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s="14"/>
    </row>
    <row r="71" spans="7:54" x14ac:dyDescent="0.25">
      <c r="G71" s="13"/>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s="14"/>
    </row>
    <row r="72" spans="7:54" x14ac:dyDescent="0.25">
      <c r="G72" s="13"/>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s="14"/>
    </row>
    <row r="73" spans="7:54" x14ac:dyDescent="0.25">
      <c r="G73" s="1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s="14"/>
    </row>
    <row r="74" spans="7:54" x14ac:dyDescent="0.25">
      <c r="G74" s="13"/>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s="14"/>
    </row>
    <row r="75" spans="7:54" x14ac:dyDescent="0.25">
      <c r="G75" s="13"/>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s="14"/>
    </row>
    <row r="76" spans="7:54" x14ac:dyDescent="0.25">
      <c r="G76" s="13"/>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s="14"/>
    </row>
    <row r="77" spans="7:54" x14ac:dyDescent="0.25">
      <c r="G77" s="13"/>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s="14"/>
    </row>
    <row r="78" spans="7:54" x14ac:dyDescent="0.25">
      <c r="G78" s="13"/>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s="14"/>
    </row>
    <row r="79" spans="7:54" x14ac:dyDescent="0.25">
      <c r="G79" s="13"/>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s="14"/>
    </row>
    <row r="80" spans="7:54" x14ac:dyDescent="0.25">
      <c r="G80" s="13"/>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s="14"/>
    </row>
    <row r="81" spans="7:54" x14ac:dyDescent="0.25">
      <c r="G81" s="13"/>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s="14"/>
    </row>
    <row r="82" spans="7:54" x14ac:dyDescent="0.25">
      <c r="G82" s="13"/>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s="14"/>
    </row>
    <row r="83" spans="7:54" x14ac:dyDescent="0.25">
      <c r="G83" s="1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s="14"/>
    </row>
    <row r="84" spans="7:54" x14ac:dyDescent="0.25">
      <c r="G84" s="13"/>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s="14"/>
    </row>
    <row r="85" spans="7:54" x14ac:dyDescent="0.25">
      <c r="G85" s="13"/>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s="14"/>
    </row>
    <row r="86" spans="7:54" x14ac:dyDescent="0.25">
      <c r="G86" s="13"/>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s="14"/>
    </row>
    <row r="87" spans="7:54" x14ac:dyDescent="0.25">
      <c r="G87" s="13"/>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s="14"/>
    </row>
    <row r="88" spans="7:54" x14ac:dyDescent="0.25">
      <c r="G88" s="13"/>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s="14"/>
    </row>
    <row r="89" spans="7:54" x14ac:dyDescent="0.25">
      <c r="G89" s="13"/>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s="14"/>
    </row>
    <row r="90" spans="7:54" x14ac:dyDescent="0.25">
      <c r="G90" s="13"/>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s="14"/>
    </row>
    <row r="91" spans="7:54" x14ac:dyDescent="0.25">
      <c r="G91" s="13"/>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s="14"/>
    </row>
    <row r="92" spans="7:54" x14ac:dyDescent="0.25">
      <c r="G92" s="13"/>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s="14"/>
    </row>
    <row r="93" spans="7:54" x14ac:dyDescent="0.25">
      <c r="G93" s="1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s="14"/>
    </row>
    <row r="94" spans="7:54" x14ac:dyDescent="0.25">
      <c r="G94" s="13"/>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s="14"/>
    </row>
    <row r="95" spans="7:54" x14ac:dyDescent="0.25">
      <c r="G95" s="13"/>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s="14"/>
    </row>
    <row r="96" spans="7:54" x14ac:dyDescent="0.25">
      <c r="G96" s="13"/>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s="14"/>
    </row>
    <row r="97" spans="7:54" x14ac:dyDescent="0.25">
      <c r="G97" s="13"/>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s="14"/>
    </row>
    <row r="98" spans="7:54" x14ac:dyDescent="0.25">
      <c r="G98" s="13"/>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s="14"/>
    </row>
    <row r="99" spans="7:54" x14ac:dyDescent="0.25">
      <c r="G99" s="13"/>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s="14"/>
    </row>
    <row r="100" spans="7:54" x14ac:dyDescent="0.25">
      <c r="G100" s="13"/>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s="14"/>
    </row>
    <row r="101" spans="7:54" x14ac:dyDescent="0.25">
      <c r="G101" s="13"/>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s="14"/>
    </row>
    <row r="102" spans="7:54" x14ac:dyDescent="0.25">
      <c r="G102" s="13"/>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s="14"/>
    </row>
    <row r="103" spans="7:54" x14ac:dyDescent="0.25">
      <c r="G103" s="1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s="14"/>
    </row>
    <row r="104" spans="7:54" x14ac:dyDescent="0.25">
      <c r="G104" s="13"/>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s="14"/>
    </row>
    <row r="105" spans="7:54" x14ac:dyDescent="0.25">
      <c r="G105" s="13"/>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s="14"/>
    </row>
    <row r="106" spans="7:54" x14ac:dyDescent="0.25">
      <c r="G106" s="13"/>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s="14"/>
    </row>
    <row r="107" spans="7:54" x14ac:dyDescent="0.25">
      <c r="G107" s="13"/>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s="14"/>
    </row>
    <row r="108" spans="7:54" x14ac:dyDescent="0.25">
      <c r="G108" s="13"/>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s="14"/>
    </row>
    <row r="109" spans="7:54" ht="15.75" thickBot="1" x14ac:dyDescent="0.3">
      <c r="G109" s="15"/>
      <c r="H109" s="16"/>
      <c r="I109" s="16"/>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6"/>
      <c r="AO109" s="16"/>
      <c r="AP109" s="16"/>
      <c r="AQ109" s="16"/>
      <c r="AR109" s="16"/>
      <c r="AS109" s="16"/>
      <c r="AT109" s="16"/>
      <c r="AU109" s="16"/>
      <c r="AV109" s="16"/>
      <c r="AW109" s="16"/>
      <c r="AX109" s="16"/>
      <c r="AY109" s="16"/>
      <c r="AZ109" s="16"/>
      <c r="BA109" s="16"/>
      <c r="BB109" s="17"/>
    </row>
  </sheetData>
  <mergeCells count="37">
    <mergeCell ref="T27:T28"/>
    <mergeCell ref="Y26:AD26"/>
    <mergeCell ref="U27:U28"/>
    <mergeCell ref="V27:V28"/>
    <mergeCell ref="Q27:Q28"/>
    <mergeCell ref="R27:R28"/>
    <mergeCell ref="S27:S28"/>
    <mergeCell ref="AD27:AD28"/>
    <mergeCell ref="AA27:AA28"/>
    <mergeCell ref="AC27:AC28"/>
    <mergeCell ref="Z27:Z28"/>
    <mergeCell ref="AB27:AB28"/>
    <mergeCell ref="W27:W28"/>
    <mergeCell ref="Y27:Y28"/>
    <mergeCell ref="P27:P28"/>
    <mergeCell ref="H20:I20"/>
    <mergeCell ref="J20:K20"/>
    <mergeCell ref="M20:M21"/>
    <mergeCell ref="N20:N21"/>
    <mergeCell ref="O20:O21"/>
    <mergeCell ref="P20:P21"/>
    <mergeCell ref="H27:I27"/>
    <mergeCell ref="J27:K27"/>
    <mergeCell ref="M27:M28"/>
    <mergeCell ref="N27:N28"/>
    <mergeCell ref="O27:O28"/>
    <mergeCell ref="AA20:AA21"/>
    <mergeCell ref="M19:T19"/>
    <mergeCell ref="M26:W26"/>
    <mergeCell ref="Y19:AB19"/>
    <mergeCell ref="Z20:Z21"/>
    <mergeCell ref="AB20:AB21"/>
    <mergeCell ref="Y20:Y21"/>
    <mergeCell ref="Q20:Q21"/>
    <mergeCell ref="R20:R21"/>
    <mergeCell ref="S20:S21"/>
    <mergeCell ref="T20:T21"/>
  </mergeCells>
  <conditionalFormatting sqref="B20:C44 B45:B49">
    <cfRule type="expression" dxfId="14" priority="2">
      <formula>A20=""</formula>
    </cfRule>
  </conditionalFormatting>
  <conditionalFormatting sqref="C45:C49">
    <cfRule type="expression" dxfId="13" priority="1">
      <formula>A45=""</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ED953-AF08-43EF-9881-0B9B5BDB7205}">
  <sheetPr>
    <tabColor theme="9" tint="0.39997558519241921"/>
  </sheetPr>
  <dimension ref="A1:BB115"/>
  <sheetViews>
    <sheetView topLeftCell="L18" workbookViewId="0">
      <selection activeCell="AB39" sqref="AB39"/>
    </sheetView>
  </sheetViews>
  <sheetFormatPr defaultColWidth="9.140625" defaultRowHeight="15" x14ac:dyDescent="0.25"/>
  <cols>
    <col min="1" max="1" width="28.5703125" style="5" customWidth="1"/>
    <col min="2" max="2" width="35.140625" style="5" customWidth="1"/>
    <col min="3" max="3" width="32.42578125" style="5" customWidth="1"/>
    <col min="4" max="4" width="33.140625" style="5" customWidth="1"/>
    <col min="5" max="17" width="9.140625" style="5"/>
    <col min="18" max="18" width="16.7109375" style="5" customWidth="1"/>
    <col min="19" max="19" width="14.140625" style="5" customWidth="1"/>
    <col min="20" max="21" width="16.7109375" style="5" customWidth="1"/>
    <col min="22" max="22" width="11.7109375" style="5" customWidth="1"/>
    <col min="23" max="23" width="16.7109375" style="5" customWidth="1"/>
    <col min="24" max="24" width="9.140625" style="5"/>
    <col min="25" max="26" width="14.7109375" style="5" customWidth="1"/>
    <col min="27" max="27" width="20.5703125" style="5" customWidth="1"/>
    <col min="28" max="28" width="20.42578125" style="5" customWidth="1"/>
    <col min="29" max="16384" width="9.140625" style="5"/>
  </cols>
  <sheetData>
    <row r="1" spans="1:9" ht="20.25" thickBot="1" x14ac:dyDescent="0.35">
      <c r="A1" s="93" t="s">
        <v>216</v>
      </c>
    </row>
    <row r="2" spans="1:9" ht="15.75" thickTop="1" x14ac:dyDescent="0.25">
      <c r="A2" s="148" t="s">
        <v>238</v>
      </c>
      <c r="B2" s="148"/>
      <c r="C2" s="148"/>
      <c r="D2" s="148"/>
      <c r="E2" s="148"/>
      <c r="F2" s="148"/>
    </row>
    <row r="3" spans="1:9" x14ac:dyDescent="0.25">
      <c r="A3" s="5" t="s">
        <v>198</v>
      </c>
    </row>
    <row r="4" spans="1:9" x14ac:dyDescent="0.25">
      <c r="A4" s="149" t="s">
        <v>257</v>
      </c>
      <c r="B4" s="148"/>
      <c r="C4" s="148"/>
      <c r="D4" s="148"/>
      <c r="E4" s="148"/>
      <c r="F4" s="148"/>
      <c r="G4" s="148"/>
      <c r="H4" s="148"/>
      <c r="I4" s="148"/>
    </row>
    <row r="5" spans="1:9" x14ac:dyDescent="0.25">
      <c r="A5" s="38" t="s">
        <v>198</v>
      </c>
    </row>
    <row r="6" spans="1:9" x14ac:dyDescent="0.25">
      <c r="A6" s="94" t="s">
        <v>239</v>
      </c>
    </row>
    <row r="7" spans="1:9" ht="30" x14ac:dyDescent="0.25">
      <c r="A7" s="113" t="s">
        <v>46</v>
      </c>
      <c r="B7" s="113" t="s">
        <v>266</v>
      </c>
    </row>
    <row r="8" spans="1:9" x14ac:dyDescent="0.25">
      <c r="A8" s="35" t="s">
        <v>188</v>
      </c>
      <c r="B8" s="42">
        <f>'Parameter Values'!B53</f>
        <v>0.52</v>
      </c>
    </row>
    <row r="9" spans="1:9" x14ac:dyDescent="0.25">
      <c r="A9" s="35" t="s">
        <v>189</v>
      </c>
      <c r="B9" s="42">
        <f>'Parameter Values'!B54</f>
        <v>1.32</v>
      </c>
    </row>
    <row r="10" spans="1:9" ht="30" x14ac:dyDescent="0.25">
      <c r="A10" s="113" t="s">
        <v>269</v>
      </c>
      <c r="B10" s="113" t="s">
        <v>279</v>
      </c>
    </row>
    <row r="11" spans="1:9" x14ac:dyDescent="0.25">
      <c r="A11" s="127" t="s">
        <v>270</v>
      </c>
      <c r="B11" s="128" t="s">
        <v>278</v>
      </c>
    </row>
    <row r="12" spans="1:9" x14ac:dyDescent="0.25">
      <c r="A12" s="35" t="s">
        <v>271</v>
      </c>
      <c r="B12" s="129">
        <f>'Parameter Values'!B63</f>
        <v>273</v>
      </c>
    </row>
    <row r="13" spans="1:9" x14ac:dyDescent="0.25">
      <c r="A13" s="35" t="s">
        <v>272</v>
      </c>
      <c r="B13" s="129">
        <f>'Parameter Values'!B64</f>
        <v>299</v>
      </c>
    </row>
    <row r="14" spans="1:9" x14ac:dyDescent="0.25">
      <c r="A14" s="35" t="s">
        <v>273</v>
      </c>
      <c r="B14" s="129">
        <f>'Parameter Values'!B65</f>
        <v>747</v>
      </c>
    </row>
    <row r="15" spans="1:9" x14ac:dyDescent="0.25">
      <c r="A15" s="35" t="s">
        <v>274</v>
      </c>
      <c r="B15" s="129">
        <f>'Parameter Values'!B66</f>
        <v>331</v>
      </c>
    </row>
    <row r="16" spans="1:9" x14ac:dyDescent="0.25">
      <c r="A16" s="127" t="s">
        <v>275</v>
      </c>
      <c r="B16" s="128" t="s">
        <v>278</v>
      </c>
    </row>
    <row r="17" spans="1:54" x14ac:dyDescent="0.25">
      <c r="A17" s="35" t="s">
        <v>271</v>
      </c>
      <c r="B17" s="129">
        <f>'Parameter Values'!B68</f>
        <v>799</v>
      </c>
    </row>
    <row r="18" spans="1:54" x14ac:dyDescent="0.25">
      <c r="A18" s="35" t="s">
        <v>272</v>
      </c>
      <c r="B18" s="129">
        <f>'Parameter Values'!B69</f>
        <v>778</v>
      </c>
    </row>
    <row r="19" spans="1:54" x14ac:dyDescent="0.25">
      <c r="A19" s="35" t="s">
        <v>273</v>
      </c>
      <c r="B19" s="129">
        <f>'Parameter Values'!B70</f>
        <v>1226</v>
      </c>
    </row>
    <row r="20" spans="1:54" x14ac:dyDescent="0.25">
      <c r="A20" s="35" t="s">
        <v>274</v>
      </c>
      <c r="B20" s="129">
        <f>'Parameter Values'!B71</f>
        <v>810</v>
      </c>
    </row>
    <row r="21" spans="1:54" x14ac:dyDescent="0.25">
      <c r="A21" s="127" t="s">
        <v>276</v>
      </c>
      <c r="B21" s="128" t="s">
        <v>278</v>
      </c>
    </row>
    <row r="22" spans="1:54" x14ac:dyDescent="0.25">
      <c r="A22" s="35" t="s">
        <v>277</v>
      </c>
      <c r="B22" s="42">
        <f>'Parameter Values'!B73</f>
        <v>1.03</v>
      </c>
    </row>
    <row r="23" spans="1:54" x14ac:dyDescent="0.25">
      <c r="A23" s="38" t="s">
        <v>198</v>
      </c>
      <c r="B23" s="38"/>
    </row>
    <row r="24" spans="1:54" ht="15.75" thickBot="1" x14ac:dyDescent="0.3">
      <c r="A24" s="94" t="s">
        <v>242</v>
      </c>
    </row>
    <row r="25" spans="1:54" x14ac:dyDescent="0.25">
      <c r="A25" s="104" t="s">
        <v>4</v>
      </c>
      <c r="B25" s="105" t="s">
        <v>416</v>
      </c>
      <c r="C25" s="105" t="s">
        <v>417</v>
      </c>
      <c r="D25" s="111" t="s">
        <v>418</v>
      </c>
      <c r="G25" s="214" t="s">
        <v>410</v>
      </c>
      <c r="H25" s="11"/>
      <c r="I25" s="11"/>
      <c r="J25" s="11"/>
      <c r="K25" s="11"/>
      <c r="L25" s="11"/>
      <c r="M25" s="489" t="s">
        <v>463</v>
      </c>
      <c r="N25" s="489"/>
      <c r="O25" s="489"/>
      <c r="P25" s="489"/>
      <c r="Q25" s="489"/>
      <c r="R25" s="489"/>
      <c r="S25" s="489"/>
      <c r="T25" s="489"/>
      <c r="U25" s="11"/>
      <c r="V25" s="11"/>
      <c r="W25" s="11"/>
      <c r="X25" s="11"/>
      <c r="Y25" s="490" t="s">
        <v>500</v>
      </c>
      <c r="Z25" s="490"/>
      <c r="AA25" s="490"/>
      <c r="AB25" s="490"/>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2"/>
    </row>
    <row r="26" spans="1:54" ht="30" customHeight="1" x14ac:dyDescent="0.25">
      <c r="A26" s="6">
        <f>'Project Information'!$B$9</f>
        <v>2028</v>
      </c>
      <c r="B26" s="22">
        <f>$B$17*($T$30+$AA$30)</f>
        <v>7569678.0599999987</v>
      </c>
      <c r="C26" s="22">
        <f>$B$17*($T$30+$AB$37)</f>
        <v>5262553.5750000002</v>
      </c>
      <c r="D26" s="26">
        <f>B26-C26</f>
        <v>2307124.4849999985</v>
      </c>
      <c r="G26" s="13"/>
      <c r="H26" s="482" t="s">
        <v>398</v>
      </c>
      <c r="I26" s="483"/>
      <c r="J26" s="482" t="s">
        <v>396</v>
      </c>
      <c r="K26" s="483"/>
      <c r="L26" s="239" t="s">
        <v>385</v>
      </c>
      <c r="M26" s="484" t="s">
        <v>390</v>
      </c>
      <c r="N26" s="478" t="s">
        <v>391</v>
      </c>
      <c r="O26" s="478" t="s">
        <v>395</v>
      </c>
      <c r="P26" s="478" t="s">
        <v>400</v>
      </c>
      <c r="Q26" s="480" t="s">
        <v>421</v>
      </c>
      <c r="R26" s="480" t="s">
        <v>508</v>
      </c>
      <c r="S26" s="480" t="s">
        <v>414</v>
      </c>
      <c r="T26" s="480" t="s">
        <v>415</v>
      </c>
      <c r="U26"/>
      <c r="V26"/>
      <c r="W26"/>
      <c r="X26"/>
      <c r="Y26" s="491" t="s">
        <v>457</v>
      </c>
      <c r="Z26" s="493" t="s">
        <v>460</v>
      </c>
      <c r="AA26" s="493" t="s">
        <v>462</v>
      </c>
      <c r="AB26"/>
      <c r="AC26"/>
      <c r="AD26"/>
      <c r="AE26"/>
      <c r="AF26"/>
      <c r="AG26"/>
      <c r="AH26"/>
      <c r="AI26"/>
      <c r="AJ26"/>
      <c r="AK26"/>
      <c r="AL26"/>
      <c r="AM26"/>
      <c r="AN26"/>
      <c r="AO26"/>
      <c r="AP26"/>
      <c r="AQ26"/>
      <c r="AR26"/>
      <c r="AS26"/>
      <c r="AT26"/>
      <c r="AU26"/>
      <c r="AV26"/>
      <c r="AW26"/>
      <c r="AX26"/>
      <c r="AY26"/>
      <c r="AZ26"/>
      <c r="BA26"/>
      <c r="BB26" s="14"/>
    </row>
    <row r="27" spans="1:54" ht="15.75" customHeight="1" thickBot="1" x14ac:dyDescent="0.3">
      <c r="A27" s="1">
        <f>IF(A26&lt;'Project Information'!B$11,A26+1,"")</f>
        <v>2029</v>
      </c>
      <c r="B27" s="22">
        <f>$B$17*($T$30+$AA$30)</f>
        <v>7569678.0599999987</v>
      </c>
      <c r="C27" s="22">
        <f>$B$17*($T$30+$AB$37)</f>
        <v>5262553.5750000002</v>
      </c>
      <c r="D27" s="8">
        <f t="shared" ref="D27:D55" si="0">B27-C27</f>
        <v>2307124.4849999985</v>
      </c>
      <c r="G27" s="15"/>
      <c r="H27" s="218" t="s">
        <v>386</v>
      </c>
      <c r="I27" s="219" t="s">
        <v>387</v>
      </c>
      <c r="J27" s="218" t="s">
        <v>386</v>
      </c>
      <c r="K27" s="226" t="s">
        <v>388</v>
      </c>
      <c r="L27" s="230" t="s">
        <v>389</v>
      </c>
      <c r="M27" s="485"/>
      <c r="N27" s="479"/>
      <c r="O27" s="479"/>
      <c r="P27" s="479"/>
      <c r="Q27" s="481"/>
      <c r="R27" s="481"/>
      <c r="S27" s="481"/>
      <c r="T27" s="481"/>
      <c r="U27"/>
      <c r="V27"/>
      <c r="W27"/>
      <c r="X27"/>
      <c r="Y27" s="492"/>
      <c r="Z27" s="494"/>
      <c r="AA27" s="494"/>
      <c r="AB27"/>
      <c r="AC27"/>
      <c r="AD27"/>
      <c r="AE27"/>
      <c r="AF27"/>
      <c r="AG27"/>
      <c r="AH27"/>
      <c r="AI27"/>
      <c r="AJ27"/>
      <c r="AK27"/>
      <c r="AL27"/>
      <c r="AM27"/>
      <c r="AN27"/>
      <c r="AO27"/>
      <c r="AP27"/>
      <c r="AQ27"/>
      <c r="AR27"/>
      <c r="AS27"/>
      <c r="AT27"/>
      <c r="AU27"/>
      <c r="AV27"/>
      <c r="AW27"/>
      <c r="AX27"/>
      <c r="AY27"/>
      <c r="AZ27"/>
      <c r="BA27"/>
      <c r="BB27" s="14"/>
    </row>
    <row r="28" spans="1:54" x14ac:dyDescent="0.25">
      <c r="A28" s="1">
        <f>IF(A27&lt;'Project Information'!B$11,A27+1,"")</f>
        <v>2030</v>
      </c>
      <c r="B28" s="22">
        <f>$B$17*($T$37+$AA$37)</f>
        <v>11821716.359999999</v>
      </c>
      <c r="C28" s="22">
        <f>$B$17*($W$37+$AB$37)</f>
        <v>5262553.5750000002</v>
      </c>
      <c r="D28" s="8">
        <f t="shared" si="0"/>
        <v>6559162.7849999992</v>
      </c>
      <c r="G28" s="13" t="s">
        <v>392</v>
      </c>
      <c r="H28" s="220">
        <v>80</v>
      </c>
      <c r="I28" s="221">
        <v>27</v>
      </c>
      <c r="J28" s="227">
        <v>0</v>
      </c>
      <c r="K28" s="240">
        <v>6.4</v>
      </c>
      <c r="L28" s="231">
        <v>2</v>
      </c>
      <c r="M28" s="220">
        <f>SUM(H28:L28)</f>
        <v>115.4</v>
      </c>
      <c r="N28" s="242">
        <v>0.6</v>
      </c>
      <c r="O28" s="234">
        <f>N28*365</f>
        <v>219</v>
      </c>
      <c r="P28" s="234">
        <f>'Parameter Values'!$B$248</f>
        <v>40.5</v>
      </c>
      <c r="Q28" s="235">
        <f>O28*P28</f>
        <v>8869.5</v>
      </c>
      <c r="R28" s="235"/>
      <c r="S28" s="235"/>
      <c r="T28" s="235"/>
      <c r="U28"/>
      <c r="V28"/>
      <c r="W28"/>
      <c r="X28"/>
      <c r="Y28" s="279" t="s">
        <v>458</v>
      </c>
      <c r="Z28" s="275">
        <f>'Parameter Values'!B250*365</f>
        <v>730</v>
      </c>
      <c r="AA28" s="272">
        <f>(Z28*'Parameter Values'!B248)/M42</f>
        <v>2956.5</v>
      </c>
      <c r="AB28"/>
      <c r="AC28"/>
      <c r="AD28"/>
      <c r="AE28"/>
      <c r="AF28"/>
      <c r="AG28"/>
      <c r="AH28"/>
      <c r="AI28"/>
      <c r="AJ28"/>
      <c r="AK28"/>
      <c r="AL28"/>
      <c r="AM28"/>
      <c r="AN28"/>
      <c r="AO28"/>
      <c r="AP28"/>
      <c r="AQ28"/>
      <c r="AR28"/>
      <c r="AS28"/>
      <c r="AT28"/>
      <c r="AU28"/>
      <c r="AV28"/>
      <c r="AW28"/>
      <c r="AX28"/>
      <c r="AY28"/>
      <c r="AZ28"/>
      <c r="BA28"/>
      <c r="BB28" s="14"/>
    </row>
    <row r="29" spans="1:54" x14ac:dyDescent="0.25">
      <c r="A29" s="1">
        <f>IF(A28&lt;'Project Information'!B$11,A28+1,"")</f>
        <v>2031</v>
      </c>
      <c r="B29" s="22">
        <f t="shared" ref="B29:B50" si="1">$B$17*($T$37+$AA$37)</f>
        <v>11821716.359999999</v>
      </c>
      <c r="C29" s="22">
        <f t="shared" ref="C29:C50" si="2">$B$17*($W$37+$AB$37)</f>
        <v>5262553.5750000002</v>
      </c>
      <c r="D29" s="8">
        <f t="shared" si="0"/>
        <v>6559162.7849999992</v>
      </c>
      <c r="G29" s="216" t="s">
        <v>393</v>
      </c>
      <c r="H29" s="222">
        <v>80</v>
      </c>
      <c r="I29" s="223">
        <v>27</v>
      </c>
      <c r="J29" s="228">
        <v>0</v>
      </c>
      <c r="K29" s="241">
        <v>6.4</v>
      </c>
      <c r="L29" s="232">
        <v>2</v>
      </c>
      <c r="M29" s="222">
        <f>SUM(H29:L29)</f>
        <v>115.4</v>
      </c>
      <c r="N29" s="243">
        <v>0.6</v>
      </c>
      <c r="O29" s="217">
        <f>N29*365</f>
        <v>219</v>
      </c>
      <c r="P29" s="217">
        <f>'Parameter Values'!$B$248</f>
        <v>40.5</v>
      </c>
      <c r="Q29" s="236">
        <f t="shared" ref="Q29" si="3">O29*P29</f>
        <v>8869.5</v>
      </c>
      <c r="R29" s="236"/>
      <c r="S29" s="236"/>
      <c r="T29" s="236"/>
      <c r="U29"/>
      <c r="V29"/>
      <c r="W29"/>
      <c r="X29"/>
      <c r="Y29" s="280" t="s">
        <v>459</v>
      </c>
      <c r="Z29" s="276">
        <f>'Parameter Values'!B251*365</f>
        <v>730</v>
      </c>
      <c r="AA29" s="273">
        <f>(Z29*'Parameter Values'!B249)/M43</f>
        <v>2969.64</v>
      </c>
      <c r="AB29"/>
      <c r="AC29"/>
      <c r="AD29"/>
      <c r="AE29"/>
      <c r="AF29"/>
      <c r="AG29"/>
      <c r="AH29"/>
      <c r="AI29"/>
      <c r="AJ29"/>
      <c r="AK29"/>
      <c r="AL29"/>
      <c r="AM29"/>
      <c r="AN29"/>
      <c r="AO29"/>
      <c r="AP29"/>
      <c r="AQ29"/>
      <c r="AR29"/>
      <c r="AS29"/>
      <c r="AT29"/>
      <c r="AU29"/>
      <c r="AV29"/>
      <c r="AW29"/>
      <c r="AX29"/>
      <c r="AY29"/>
      <c r="AZ29"/>
      <c r="BA29"/>
      <c r="BB29" s="14"/>
    </row>
    <row r="30" spans="1:54" x14ac:dyDescent="0.25">
      <c r="A30" s="1">
        <f>IF(A29&lt;'Project Information'!B$11,A29+1,"")</f>
        <v>2032</v>
      </c>
      <c r="B30" s="22">
        <f t="shared" si="1"/>
        <v>11821716.359999999</v>
      </c>
      <c r="C30" s="22">
        <f t="shared" si="2"/>
        <v>5262553.5750000002</v>
      </c>
      <c r="D30" s="8">
        <f t="shared" si="0"/>
        <v>6559162.7849999992</v>
      </c>
      <c r="G30" s="215" t="s">
        <v>394</v>
      </c>
      <c r="H30" s="224">
        <f>SUM(H28:H29)</f>
        <v>160</v>
      </c>
      <c r="I30" s="225">
        <f t="shared" ref="I30:Q30" si="4">SUM(I28:I29)</f>
        <v>54</v>
      </c>
      <c r="J30" s="229">
        <f t="shared" si="4"/>
        <v>0</v>
      </c>
      <c r="K30" s="245">
        <f t="shared" si="4"/>
        <v>12.8</v>
      </c>
      <c r="L30" s="233">
        <f t="shared" si="4"/>
        <v>4</v>
      </c>
      <c r="M30" s="224">
        <f t="shared" si="4"/>
        <v>230.8</v>
      </c>
      <c r="N30" s="244">
        <f t="shared" si="4"/>
        <v>1.2</v>
      </c>
      <c r="O30" s="237">
        <f t="shared" si="4"/>
        <v>438</v>
      </c>
      <c r="P30" s="237">
        <f t="shared" si="4"/>
        <v>81</v>
      </c>
      <c r="Q30" s="238">
        <f t="shared" si="4"/>
        <v>17739</v>
      </c>
      <c r="R30" s="238">
        <f>M42</f>
        <v>10</v>
      </c>
      <c r="S30" s="238">
        <f>5*O30</f>
        <v>2190</v>
      </c>
      <c r="T30" s="238">
        <f>(O30*P30)/R30</f>
        <v>3547.8</v>
      </c>
      <c r="U30"/>
      <c r="V30"/>
      <c r="W30"/>
      <c r="X30"/>
      <c r="Y30" s="281" t="s">
        <v>394</v>
      </c>
      <c r="Z30" s="277">
        <f>SUM(Z28:Z29)</f>
        <v>1460</v>
      </c>
      <c r="AA30" s="274">
        <f>SUM(AA28:AA29)</f>
        <v>5926.1399999999994</v>
      </c>
      <c r="AB30"/>
      <c r="AC30"/>
      <c r="AD30"/>
      <c r="AE30"/>
      <c r="AF30"/>
      <c r="AG30"/>
      <c r="AH30"/>
      <c r="AI30"/>
      <c r="AJ30"/>
      <c r="AK30"/>
      <c r="AL30"/>
      <c r="AM30"/>
      <c r="AN30"/>
      <c r="AO30"/>
      <c r="AP30"/>
      <c r="AQ30"/>
      <c r="AR30"/>
      <c r="AS30"/>
      <c r="AT30"/>
      <c r="AU30"/>
      <c r="AV30"/>
      <c r="AW30"/>
      <c r="AX30"/>
      <c r="AY30"/>
      <c r="AZ30"/>
      <c r="BA30"/>
      <c r="BB30" s="14"/>
    </row>
    <row r="31" spans="1:54" ht="15.75" thickBot="1" x14ac:dyDescent="0.3">
      <c r="A31" s="1">
        <f>IF(A30&lt;'Project Information'!B$11,A30+1,"")</f>
        <v>2033</v>
      </c>
      <c r="B31" s="22">
        <f t="shared" si="1"/>
        <v>11821716.359999999</v>
      </c>
      <c r="C31" s="22">
        <f t="shared" si="2"/>
        <v>5262553.5750000002</v>
      </c>
      <c r="D31" s="8">
        <f t="shared" si="0"/>
        <v>6559162.7849999992</v>
      </c>
      <c r="G31" s="13"/>
      <c r="H31" s="175"/>
      <c r="I31"/>
      <c r="J31"/>
      <c r="K31" s="174"/>
      <c r="L31"/>
      <c r="M31"/>
      <c r="N31"/>
      <c r="O31"/>
      <c r="P31"/>
      <c r="Q31"/>
      <c r="R31" s="213"/>
      <c r="S31"/>
      <c r="T31"/>
      <c r="U31"/>
      <c r="V31"/>
      <c r="W31"/>
      <c r="X31"/>
      <c r="Y31" s="278"/>
      <c r="Z31" s="278"/>
      <c r="AA31" s="278"/>
      <c r="AB31"/>
      <c r="AC31"/>
      <c r="AD31"/>
      <c r="AE31"/>
      <c r="AF31"/>
      <c r="AG31"/>
      <c r="AH31"/>
      <c r="AI31"/>
      <c r="AJ31"/>
      <c r="AK31"/>
      <c r="AL31"/>
      <c r="AM31"/>
      <c r="AN31"/>
      <c r="AO31"/>
      <c r="AP31"/>
      <c r="AQ31"/>
      <c r="AR31"/>
      <c r="AS31"/>
      <c r="AT31"/>
      <c r="AU31"/>
      <c r="AV31"/>
      <c r="AW31"/>
      <c r="AX31"/>
      <c r="AY31"/>
      <c r="AZ31"/>
      <c r="BA31"/>
      <c r="BB31" s="14"/>
    </row>
    <row r="32" spans="1:54" x14ac:dyDescent="0.25">
      <c r="A32" s="1">
        <f>IF(A31&lt;'Project Information'!B$11,A31+1,"")</f>
        <v>2034</v>
      </c>
      <c r="B32" s="22">
        <f t="shared" si="1"/>
        <v>11821716.359999999</v>
      </c>
      <c r="C32" s="22">
        <f t="shared" si="2"/>
        <v>5262553.5750000002</v>
      </c>
      <c r="D32" s="8">
        <f t="shared" si="0"/>
        <v>6559162.7849999992</v>
      </c>
      <c r="G32" s="214" t="s">
        <v>409</v>
      </c>
      <c r="H32" s="11"/>
      <c r="I32" s="11"/>
      <c r="J32" s="11"/>
      <c r="K32" s="11"/>
      <c r="L32" s="11"/>
      <c r="M32" s="489" t="s">
        <v>463</v>
      </c>
      <c r="N32" s="489"/>
      <c r="O32" s="489"/>
      <c r="P32" s="489"/>
      <c r="Q32" s="489"/>
      <c r="R32" s="489"/>
      <c r="S32" s="489"/>
      <c r="T32" s="489"/>
      <c r="U32" s="489"/>
      <c r="V32" s="489"/>
      <c r="W32" s="489"/>
      <c r="X32" s="11"/>
      <c r="Y32" s="490" t="s">
        <v>500</v>
      </c>
      <c r="Z32" s="490"/>
      <c r="AA32" s="490"/>
      <c r="AB32" s="490"/>
      <c r="AC32"/>
      <c r="AD32"/>
      <c r="AE32"/>
      <c r="AF32"/>
      <c r="AG32"/>
      <c r="AH32"/>
      <c r="AI32"/>
      <c r="AJ32"/>
      <c r="AK32"/>
      <c r="AL32"/>
      <c r="AM32"/>
      <c r="AN32"/>
      <c r="AO32"/>
      <c r="AP32"/>
      <c r="AQ32"/>
      <c r="AR32"/>
      <c r="AS32"/>
      <c r="AT32"/>
      <c r="AU32"/>
      <c r="AV32"/>
      <c r="AW32"/>
      <c r="AX32"/>
      <c r="AY32"/>
      <c r="AZ32"/>
      <c r="BA32"/>
      <c r="BB32" s="14"/>
    </row>
    <row r="33" spans="1:54" ht="30" customHeight="1" x14ac:dyDescent="0.25">
      <c r="A33" s="1">
        <f>IF(A32&lt;'Project Information'!B$11,A32+1,"")</f>
        <v>2035</v>
      </c>
      <c r="B33" s="22">
        <f t="shared" si="1"/>
        <v>11821716.359999999</v>
      </c>
      <c r="C33" s="22">
        <f>$B$17*($W$37+$AB$37)</f>
        <v>5262553.5750000002</v>
      </c>
      <c r="D33" s="8">
        <f t="shared" si="0"/>
        <v>6559162.7849999992</v>
      </c>
      <c r="G33" s="13"/>
      <c r="H33" s="482" t="s">
        <v>407</v>
      </c>
      <c r="I33" s="483"/>
      <c r="J33" s="482" t="s">
        <v>397</v>
      </c>
      <c r="K33" s="483"/>
      <c r="L33" s="239" t="s">
        <v>385</v>
      </c>
      <c r="M33" s="484" t="s">
        <v>390</v>
      </c>
      <c r="N33" s="478" t="s">
        <v>391</v>
      </c>
      <c r="O33" s="478" t="s">
        <v>395</v>
      </c>
      <c r="P33" s="478" t="s">
        <v>400</v>
      </c>
      <c r="Q33" s="480" t="s">
        <v>421</v>
      </c>
      <c r="R33" s="480" t="s">
        <v>509</v>
      </c>
      <c r="S33" s="480" t="s">
        <v>405</v>
      </c>
      <c r="T33" s="480" t="s">
        <v>402</v>
      </c>
      <c r="U33" s="476" t="s">
        <v>510</v>
      </c>
      <c r="V33" s="480" t="s">
        <v>406</v>
      </c>
      <c r="W33" s="476" t="s">
        <v>401</v>
      </c>
      <c r="X33"/>
      <c r="Y33" s="491" t="s">
        <v>457</v>
      </c>
      <c r="Z33" s="493" t="s">
        <v>460</v>
      </c>
      <c r="AA33" s="531" t="s">
        <v>462</v>
      </c>
      <c r="AB33" s="533" t="s">
        <v>461</v>
      </c>
      <c r="AC33"/>
      <c r="AD33"/>
      <c r="AE33"/>
      <c r="AF33"/>
      <c r="AG33"/>
      <c r="AH33"/>
      <c r="AI33"/>
      <c r="AJ33"/>
      <c r="AK33"/>
      <c r="AL33"/>
      <c r="AM33"/>
      <c r="AN33"/>
      <c r="AO33"/>
      <c r="AP33"/>
      <c r="AQ33"/>
      <c r="AR33"/>
      <c r="AS33"/>
      <c r="AT33"/>
      <c r="AU33"/>
      <c r="AV33"/>
      <c r="AW33"/>
      <c r="AX33"/>
      <c r="AY33"/>
      <c r="AZ33"/>
      <c r="BA33"/>
      <c r="BB33" s="14"/>
    </row>
    <row r="34" spans="1:54" ht="15.75" customHeight="1" thickBot="1" x14ac:dyDescent="0.3">
      <c r="A34" s="1">
        <f>IF(A33&lt;'Project Information'!B$11,A33+1,"")</f>
        <v>2036</v>
      </c>
      <c r="B34" s="22">
        <f t="shared" si="1"/>
        <v>11821716.359999999</v>
      </c>
      <c r="C34" s="22">
        <f t="shared" si="2"/>
        <v>5262553.5750000002</v>
      </c>
      <c r="D34" s="8">
        <f t="shared" si="0"/>
        <v>6559162.7849999992</v>
      </c>
      <c r="G34" s="15"/>
      <c r="H34" s="218" t="s">
        <v>386</v>
      </c>
      <c r="I34" s="219" t="s">
        <v>387</v>
      </c>
      <c r="J34" s="218" t="s">
        <v>386</v>
      </c>
      <c r="K34" s="226" t="s">
        <v>388</v>
      </c>
      <c r="L34" s="230" t="s">
        <v>389</v>
      </c>
      <c r="M34" s="485"/>
      <c r="N34" s="479"/>
      <c r="O34" s="479"/>
      <c r="P34" s="479"/>
      <c r="Q34" s="481"/>
      <c r="R34" s="481"/>
      <c r="S34" s="481"/>
      <c r="T34" s="481"/>
      <c r="U34" s="477"/>
      <c r="V34" s="481"/>
      <c r="W34" s="477"/>
      <c r="X34"/>
      <c r="Y34" s="492"/>
      <c r="Z34" s="494"/>
      <c r="AA34" s="532"/>
      <c r="AB34" s="534"/>
      <c r="AC34"/>
      <c r="AD34"/>
      <c r="AE34"/>
      <c r="AF34"/>
      <c r="AG34"/>
      <c r="AH34"/>
      <c r="AI34"/>
      <c r="AJ34"/>
      <c r="AK34"/>
      <c r="AL34"/>
      <c r="AM34"/>
      <c r="AN34"/>
      <c r="AO34"/>
      <c r="AP34"/>
      <c r="AQ34"/>
      <c r="AR34"/>
      <c r="AS34"/>
      <c r="AT34"/>
      <c r="AU34"/>
      <c r="AV34"/>
      <c r="AW34"/>
      <c r="AX34"/>
      <c r="AY34"/>
      <c r="AZ34"/>
      <c r="BA34"/>
      <c r="BB34" s="14"/>
    </row>
    <row r="35" spans="1:54" x14ac:dyDescent="0.25">
      <c r="A35" s="1">
        <f>IF(A34&lt;'Project Information'!B$11,A34+1,"")</f>
        <v>2037</v>
      </c>
      <c r="B35" s="22">
        <f t="shared" si="1"/>
        <v>11821716.359999999</v>
      </c>
      <c r="C35" s="22">
        <f t="shared" si="2"/>
        <v>5262553.5750000002</v>
      </c>
      <c r="D35" s="8">
        <f t="shared" si="0"/>
        <v>6559162.7849999992</v>
      </c>
      <c r="G35" s="13" t="s">
        <v>392</v>
      </c>
      <c r="H35" s="220">
        <v>176</v>
      </c>
      <c r="I35" s="221">
        <v>81</v>
      </c>
      <c r="J35" s="227">
        <v>48</v>
      </c>
      <c r="K35" s="221">
        <v>12</v>
      </c>
      <c r="L35" s="231">
        <v>2</v>
      </c>
      <c r="M35" s="220">
        <f>SUM(H35:L35)</f>
        <v>319</v>
      </c>
      <c r="N35" s="242">
        <v>1.5</v>
      </c>
      <c r="O35" s="234">
        <f>N35*365</f>
        <v>547.5</v>
      </c>
      <c r="P35" s="234">
        <f>'Parameter Values'!$B$248</f>
        <v>40.5</v>
      </c>
      <c r="Q35" s="235">
        <f>O35*P35</f>
        <v>22173.75</v>
      </c>
      <c r="R35" s="235"/>
      <c r="S35" s="235"/>
      <c r="T35" s="235"/>
      <c r="U35" s="235"/>
      <c r="V35" s="235"/>
      <c r="W35" s="235"/>
      <c r="X35"/>
      <c r="Y35" s="279" t="s">
        <v>458</v>
      </c>
      <c r="Z35" s="275">
        <f>'Parameter Values'!B250*365</f>
        <v>730</v>
      </c>
      <c r="AA35" s="275">
        <f>(Z35*'Parameter Values'!B248)/M42</f>
        <v>2956.5</v>
      </c>
      <c r="AB35" s="283">
        <f>(Z35*'Parameter Values'!B248)/M43</f>
        <v>1182.5999999999999</v>
      </c>
      <c r="AC35"/>
      <c r="AD35"/>
      <c r="AE35"/>
      <c r="AF35"/>
      <c r="AG35"/>
      <c r="AH35"/>
      <c r="AI35"/>
      <c r="AJ35"/>
      <c r="AK35"/>
      <c r="AL35"/>
      <c r="AM35"/>
      <c r="AN35"/>
      <c r="AO35"/>
      <c r="AP35"/>
      <c r="AQ35"/>
      <c r="AR35"/>
      <c r="AS35"/>
      <c r="AT35"/>
      <c r="AU35"/>
      <c r="AV35"/>
      <c r="AW35"/>
      <c r="AX35"/>
      <c r="AY35"/>
      <c r="AZ35"/>
      <c r="BA35"/>
      <c r="BB35" s="14"/>
    </row>
    <row r="36" spans="1:54" x14ac:dyDescent="0.25">
      <c r="A36" s="1">
        <f>IF(A35&lt;'Project Information'!B$11,A35+1,"")</f>
        <v>2038</v>
      </c>
      <c r="B36" s="22">
        <f t="shared" si="1"/>
        <v>11821716.359999999</v>
      </c>
      <c r="C36" s="22">
        <f t="shared" si="2"/>
        <v>5262553.5750000002</v>
      </c>
      <c r="D36" s="8">
        <f t="shared" si="0"/>
        <v>6559162.7849999992</v>
      </c>
      <c r="G36" s="216" t="s">
        <v>393</v>
      </c>
      <c r="H36" s="222">
        <v>176</v>
      </c>
      <c r="I36" s="223">
        <v>81</v>
      </c>
      <c r="J36" s="228">
        <v>48</v>
      </c>
      <c r="K36" s="223">
        <v>12</v>
      </c>
      <c r="L36" s="232">
        <v>2</v>
      </c>
      <c r="M36" s="222">
        <f>SUM(H36:L36)</f>
        <v>319</v>
      </c>
      <c r="N36" s="243">
        <v>1.5</v>
      </c>
      <c r="O36" s="217">
        <f>N36*365</f>
        <v>547.5</v>
      </c>
      <c r="P36" s="217">
        <f>'Parameter Values'!$B$248</f>
        <v>40.5</v>
      </c>
      <c r="Q36" s="236">
        <f t="shared" ref="Q36" si="5">O36*P36</f>
        <v>22173.75</v>
      </c>
      <c r="R36" s="236"/>
      <c r="S36" s="236"/>
      <c r="T36" s="236"/>
      <c r="U36" s="236"/>
      <c r="V36" s="236"/>
      <c r="W36" s="236"/>
      <c r="X36"/>
      <c r="Y36" s="280" t="s">
        <v>459</v>
      </c>
      <c r="Z36" s="276">
        <f>'Parameter Values'!B251*365</f>
        <v>730</v>
      </c>
      <c r="AA36" s="276">
        <f>(Z36*'Parameter Values'!B249)/M43</f>
        <v>2969.64</v>
      </c>
      <c r="AB36" s="284">
        <f>(Z36*'Parameter Values'!B249)/M44</f>
        <v>1856.0250000000001</v>
      </c>
      <c r="AC36"/>
      <c r="AD36"/>
      <c r="AE36"/>
      <c r="AF36"/>
      <c r="AG36"/>
      <c r="AH36"/>
      <c r="AI36"/>
      <c r="AJ36"/>
      <c r="AK36"/>
      <c r="AL36"/>
      <c r="AM36"/>
      <c r="AN36"/>
      <c r="AO36"/>
      <c r="AP36"/>
      <c r="AQ36"/>
      <c r="AR36"/>
      <c r="AS36"/>
      <c r="AT36"/>
      <c r="AU36"/>
      <c r="AV36"/>
      <c r="AW36"/>
      <c r="AX36"/>
      <c r="AY36"/>
      <c r="AZ36"/>
      <c r="BA36"/>
      <c r="BB36" s="14"/>
    </row>
    <row r="37" spans="1:54" x14ac:dyDescent="0.25">
      <c r="A37" s="1">
        <f>IF(A36&lt;'Project Information'!B$11,A36+1,"")</f>
        <v>2039</v>
      </c>
      <c r="B37" s="22">
        <f t="shared" si="1"/>
        <v>11821716.359999999</v>
      </c>
      <c r="C37" s="22">
        <f t="shared" si="2"/>
        <v>5262553.5750000002</v>
      </c>
      <c r="D37" s="8">
        <f t="shared" si="0"/>
        <v>6559162.7849999992</v>
      </c>
      <c r="G37" s="215" t="s">
        <v>394</v>
      </c>
      <c r="H37" s="224">
        <f>SUM(H35:H36)</f>
        <v>352</v>
      </c>
      <c r="I37" s="225">
        <f t="shared" ref="I37:Q37" si="6">SUM(I35:I36)</f>
        <v>162</v>
      </c>
      <c r="J37" s="229">
        <f t="shared" si="6"/>
        <v>96</v>
      </c>
      <c r="K37" s="225">
        <f t="shared" si="6"/>
        <v>24</v>
      </c>
      <c r="L37" s="233">
        <f t="shared" si="6"/>
        <v>4</v>
      </c>
      <c r="M37" s="224">
        <f t="shared" si="6"/>
        <v>638</v>
      </c>
      <c r="N37" s="244">
        <f t="shared" si="6"/>
        <v>3</v>
      </c>
      <c r="O37" s="237">
        <f t="shared" si="6"/>
        <v>1095</v>
      </c>
      <c r="P37" s="237">
        <f t="shared" si="6"/>
        <v>81</v>
      </c>
      <c r="Q37" s="238">
        <f t="shared" si="6"/>
        <v>44347.5</v>
      </c>
      <c r="R37" s="238">
        <f>M42</f>
        <v>10</v>
      </c>
      <c r="S37" s="238">
        <f>5*O37</f>
        <v>5475</v>
      </c>
      <c r="T37" s="238">
        <f>(O37*P37)/R37</f>
        <v>8869.5</v>
      </c>
      <c r="U37" s="238">
        <f>M43</f>
        <v>25</v>
      </c>
      <c r="V37" s="238">
        <f>2*O37</f>
        <v>2190</v>
      </c>
      <c r="W37" s="238">
        <f>(O37*P37)/U37</f>
        <v>3547.8</v>
      </c>
      <c r="X37"/>
      <c r="Y37" s="281" t="s">
        <v>394</v>
      </c>
      <c r="Z37" s="277">
        <f>SUM(Z35:Z36)</f>
        <v>1460</v>
      </c>
      <c r="AA37" s="277">
        <f>SUM(AA35:AA36)</f>
        <v>5926.1399999999994</v>
      </c>
      <c r="AB37" s="285">
        <f>SUM(AB35:AB36)</f>
        <v>3038.625</v>
      </c>
      <c r="AC37"/>
      <c r="AD37"/>
      <c r="AE37"/>
      <c r="AF37"/>
      <c r="AG37"/>
      <c r="AH37"/>
      <c r="AI37"/>
      <c r="AJ37"/>
      <c r="AK37"/>
      <c r="AL37"/>
      <c r="AM37"/>
      <c r="AN37"/>
      <c r="AO37"/>
      <c r="AP37"/>
      <c r="AQ37"/>
      <c r="AR37"/>
      <c r="AS37"/>
      <c r="AT37"/>
      <c r="AU37"/>
      <c r="AV37"/>
      <c r="AW37"/>
      <c r="AX37"/>
      <c r="AY37"/>
      <c r="AZ37"/>
      <c r="BA37"/>
      <c r="BB37" s="14"/>
    </row>
    <row r="38" spans="1:54" x14ac:dyDescent="0.25">
      <c r="A38" s="1">
        <f>IF(A37&lt;'Project Information'!B$11,A37+1,"")</f>
        <v>2040</v>
      </c>
      <c r="B38" s="22">
        <f t="shared" si="1"/>
        <v>11821716.359999999</v>
      </c>
      <c r="C38" s="22">
        <f t="shared" si="2"/>
        <v>5262553.5750000002</v>
      </c>
      <c r="D38" s="8">
        <f t="shared" si="0"/>
        <v>6559162.7849999992</v>
      </c>
      <c r="G38" s="13"/>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s="14"/>
    </row>
    <row r="39" spans="1:54" x14ac:dyDescent="0.25">
      <c r="A39" s="1">
        <f>IF(A38&lt;'Project Information'!B$11,A38+1,"")</f>
        <v>2041</v>
      </c>
      <c r="B39" s="22">
        <f t="shared" si="1"/>
        <v>11821716.359999999</v>
      </c>
      <c r="C39" s="22">
        <f t="shared" si="2"/>
        <v>5262553.5750000002</v>
      </c>
      <c r="D39" s="8">
        <f t="shared" si="0"/>
        <v>6559162.7849999992</v>
      </c>
      <c r="G39" s="13"/>
      <c r="H39" s="249" t="s">
        <v>403</v>
      </c>
      <c r="I39" s="249"/>
      <c r="J39" s="249"/>
      <c r="K39" s="249"/>
      <c r="L39" s="249"/>
      <c r="M39" s="249"/>
      <c r="N39" s="249"/>
      <c r="O39" s="249"/>
      <c r="P39" s="249"/>
      <c r="Q39" s="249"/>
      <c r="R39" s="249"/>
      <c r="S39" s="249"/>
      <c r="T39" s="249"/>
      <c r="U39"/>
      <c r="V39"/>
      <c r="W39"/>
      <c r="X39"/>
      <c r="Y39"/>
      <c r="Z39"/>
      <c r="AA39"/>
      <c r="AB39"/>
      <c r="AC39"/>
      <c r="AD39"/>
      <c r="AE39"/>
      <c r="AF39"/>
      <c r="AG39"/>
      <c r="AH39"/>
      <c r="AI39"/>
      <c r="AJ39"/>
      <c r="AK39"/>
      <c r="AL39"/>
      <c r="AM39"/>
      <c r="AN39"/>
      <c r="AO39"/>
      <c r="AP39"/>
      <c r="AQ39"/>
      <c r="AR39"/>
      <c r="AS39"/>
      <c r="AT39"/>
      <c r="AU39"/>
      <c r="AV39"/>
      <c r="AW39"/>
      <c r="AX39"/>
      <c r="AY39"/>
      <c r="AZ39"/>
      <c r="BA39"/>
      <c r="BB39" s="14"/>
    </row>
    <row r="40" spans="1:54" x14ac:dyDescent="0.25">
      <c r="A40" s="1">
        <f>IF(A39&lt;'Project Information'!B$11,A39+1,"")</f>
        <v>2042</v>
      </c>
      <c r="B40" s="22">
        <f t="shared" si="1"/>
        <v>11821716.359999999</v>
      </c>
      <c r="C40" s="22">
        <f t="shared" si="2"/>
        <v>5262553.5750000002</v>
      </c>
      <c r="D40" s="8">
        <f t="shared" si="0"/>
        <v>6559162.7849999992</v>
      </c>
      <c r="G40" s="13"/>
      <c r="H40" s="190" t="s">
        <v>408</v>
      </c>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s="14"/>
    </row>
    <row r="41" spans="1:54" x14ac:dyDescent="0.25">
      <c r="A41" s="1">
        <f>IF(A40&lt;'Project Information'!B$11,A40+1,"")</f>
        <v>2043</v>
      </c>
      <c r="B41" s="22">
        <f t="shared" si="1"/>
        <v>11821716.359999999</v>
      </c>
      <c r="C41" s="22">
        <f t="shared" si="2"/>
        <v>5262553.5750000002</v>
      </c>
      <c r="D41" s="8">
        <f t="shared" si="0"/>
        <v>6559162.7849999992</v>
      </c>
      <c r="G41" s="13"/>
      <c r="H41" s="248" t="s">
        <v>543</v>
      </c>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s="14"/>
    </row>
    <row r="42" spans="1:54" x14ac:dyDescent="0.25">
      <c r="A42" s="1">
        <f>IF(A41&lt;'Project Information'!B$11,A41+1,"")</f>
        <v>2044</v>
      </c>
      <c r="B42" s="22">
        <f t="shared" si="1"/>
        <v>11821716.359999999</v>
      </c>
      <c r="C42" s="22">
        <f t="shared" si="2"/>
        <v>5262553.5750000002</v>
      </c>
      <c r="D42" s="8">
        <f t="shared" si="0"/>
        <v>6559162.7849999992</v>
      </c>
      <c r="G42" s="13"/>
      <c r="H42" s="248" t="s">
        <v>542</v>
      </c>
      <c r="I42"/>
      <c r="J42"/>
      <c r="K42"/>
      <c r="L42"/>
      <c r="M42" s="439">
        <v>10</v>
      </c>
      <c r="N42" s="248" t="s">
        <v>539</v>
      </c>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s="14"/>
    </row>
    <row r="43" spans="1:54" x14ac:dyDescent="0.25">
      <c r="A43" s="1">
        <f>IF(A42&lt;'Project Information'!B$11,A42+1,"")</f>
        <v>2045</v>
      </c>
      <c r="B43" s="22">
        <f t="shared" si="1"/>
        <v>11821716.359999999</v>
      </c>
      <c r="C43" s="22">
        <f t="shared" si="2"/>
        <v>5262553.5750000002</v>
      </c>
      <c r="D43" s="8">
        <f t="shared" si="0"/>
        <v>6559162.7849999992</v>
      </c>
      <c r="G43" s="13"/>
      <c r="H43"/>
      <c r="I43" s="347"/>
      <c r="J43" s="347"/>
      <c r="K43"/>
      <c r="L43"/>
      <c r="M43" s="439">
        <v>25</v>
      </c>
      <c r="N43" s="248" t="s">
        <v>541</v>
      </c>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s="14"/>
    </row>
    <row r="44" spans="1:54" x14ac:dyDescent="0.25">
      <c r="A44" s="1">
        <f>IF(A43&lt;'Project Information'!B$11,A43+1,"")</f>
        <v>2046</v>
      </c>
      <c r="B44" s="22">
        <f t="shared" si="1"/>
        <v>11821716.359999999</v>
      </c>
      <c r="C44" s="22">
        <f t="shared" si="2"/>
        <v>5262553.5750000002</v>
      </c>
      <c r="D44" s="8">
        <f t="shared" si="0"/>
        <v>6559162.7849999992</v>
      </c>
      <c r="G44" s="13"/>
      <c r="H44"/>
      <c r="I44"/>
      <c r="J44"/>
      <c r="K44"/>
      <c r="L44"/>
      <c r="M44" s="439">
        <v>40</v>
      </c>
      <c r="N44" s="248" t="s">
        <v>540</v>
      </c>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s="14"/>
    </row>
    <row r="45" spans="1:54" x14ac:dyDescent="0.25">
      <c r="A45" s="1">
        <f>IF(A44&lt;'Project Information'!B$11,A44+1,"")</f>
        <v>2047</v>
      </c>
      <c r="B45" s="22">
        <f t="shared" si="1"/>
        <v>11821716.359999999</v>
      </c>
      <c r="C45" s="22">
        <f t="shared" si="2"/>
        <v>5262553.5750000002</v>
      </c>
      <c r="D45" s="8">
        <f t="shared" si="0"/>
        <v>6559162.7849999992</v>
      </c>
      <c r="G45" s="13"/>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s="14"/>
    </row>
    <row r="46" spans="1:54" x14ac:dyDescent="0.25">
      <c r="A46" s="1">
        <f>IF(A45&lt;'Project Information'!B$11,A45+1,"")</f>
        <v>2048</v>
      </c>
      <c r="B46" s="22">
        <f t="shared" si="1"/>
        <v>11821716.359999999</v>
      </c>
      <c r="C46" s="22">
        <f t="shared" si="2"/>
        <v>5262553.5750000002</v>
      </c>
      <c r="D46" s="8">
        <f t="shared" si="0"/>
        <v>6559162.7849999992</v>
      </c>
      <c r="G46" s="13"/>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s="14"/>
    </row>
    <row r="47" spans="1:54" x14ac:dyDescent="0.25">
      <c r="A47" s="1">
        <f>IF(A46&lt;'Project Information'!B$11,A46+1,"")</f>
        <v>2049</v>
      </c>
      <c r="B47" s="22">
        <f t="shared" si="1"/>
        <v>11821716.359999999</v>
      </c>
      <c r="C47" s="22">
        <f t="shared" si="2"/>
        <v>5262553.5750000002</v>
      </c>
      <c r="D47" s="8">
        <f t="shared" si="0"/>
        <v>6559162.7849999992</v>
      </c>
      <c r="G47" s="13"/>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s="14"/>
    </row>
    <row r="48" spans="1:54" x14ac:dyDescent="0.25">
      <c r="A48" s="1">
        <f>IF(A47&lt;'Project Information'!B$11,A47+1,"")</f>
        <v>2050</v>
      </c>
      <c r="B48" s="22">
        <f t="shared" si="1"/>
        <v>11821716.359999999</v>
      </c>
      <c r="C48" s="22">
        <f t="shared" si="2"/>
        <v>5262553.5750000002</v>
      </c>
      <c r="D48" s="8">
        <f t="shared" si="0"/>
        <v>6559162.7849999992</v>
      </c>
      <c r="G48" s="13"/>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s="14"/>
    </row>
    <row r="49" spans="1:54" x14ac:dyDescent="0.25">
      <c r="A49" s="1">
        <f>IF(A48&lt;'Project Information'!B$11,A48+1,"")</f>
        <v>2051</v>
      </c>
      <c r="B49" s="22">
        <f t="shared" si="1"/>
        <v>11821716.359999999</v>
      </c>
      <c r="C49" s="22">
        <f t="shared" si="2"/>
        <v>5262553.5750000002</v>
      </c>
      <c r="D49" s="8">
        <f t="shared" si="0"/>
        <v>6559162.7849999992</v>
      </c>
      <c r="G49" s="13"/>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s="14"/>
    </row>
    <row r="50" spans="1:54" x14ac:dyDescent="0.25">
      <c r="A50" s="1">
        <f>IF(A49&lt;'Project Information'!B$11,A49+1,"")</f>
        <v>2052</v>
      </c>
      <c r="B50" s="22">
        <f t="shared" si="1"/>
        <v>11821716.359999999</v>
      </c>
      <c r="C50" s="22">
        <f t="shared" si="2"/>
        <v>5262553.5750000002</v>
      </c>
      <c r="D50" s="8">
        <f t="shared" si="0"/>
        <v>6559162.7849999992</v>
      </c>
      <c r="G50" s="13"/>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s="14"/>
    </row>
    <row r="51" spans="1:54" x14ac:dyDescent="0.25">
      <c r="A51" s="1" t="str">
        <f>IF(A50&lt;'Project Information'!B$11,A50+1,"")</f>
        <v/>
      </c>
      <c r="B51" s="22">
        <v>0</v>
      </c>
      <c r="C51" s="22">
        <v>0</v>
      </c>
      <c r="D51" s="8">
        <f t="shared" si="0"/>
        <v>0</v>
      </c>
      <c r="G51" s="13"/>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s="14"/>
    </row>
    <row r="52" spans="1:54" x14ac:dyDescent="0.25">
      <c r="A52" s="1" t="str">
        <f>IF(A51&lt;'Project Information'!B$11,A51+1,"")</f>
        <v/>
      </c>
      <c r="B52" s="22">
        <v>0</v>
      </c>
      <c r="C52" s="22">
        <v>0</v>
      </c>
      <c r="D52" s="8">
        <f t="shared" si="0"/>
        <v>0</v>
      </c>
      <c r="G52" s="13"/>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s="14"/>
    </row>
    <row r="53" spans="1:54" x14ac:dyDescent="0.25">
      <c r="A53" s="1" t="str">
        <f>IF(A52&lt;'Project Information'!B$11,A52+1,"")</f>
        <v/>
      </c>
      <c r="B53" s="22">
        <v>0</v>
      </c>
      <c r="C53" s="22">
        <v>0</v>
      </c>
      <c r="D53" s="8">
        <f t="shared" si="0"/>
        <v>0</v>
      </c>
      <c r="G53" s="1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s="14"/>
    </row>
    <row r="54" spans="1:54" x14ac:dyDescent="0.25">
      <c r="A54" s="1" t="str">
        <f>IF(A53&lt;'Project Information'!B$11,A53+1,"")</f>
        <v/>
      </c>
      <c r="B54" s="22">
        <v>0</v>
      </c>
      <c r="C54" s="22">
        <v>0</v>
      </c>
      <c r="D54" s="8">
        <f t="shared" si="0"/>
        <v>0</v>
      </c>
      <c r="G54" s="13"/>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s="14"/>
    </row>
    <row r="55" spans="1:54" x14ac:dyDescent="0.25">
      <c r="A55" s="1" t="str">
        <f>IF(A54&lt;'Project Information'!B$11,A54+1,"")</f>
        <v/>
      </c>
      <c r="B55" s="22">
        <v>0</v>
      </c>
      <c r="C55" s="22">
        <v>0</v>
      </c>
      <c r="D55" s="9">
        <f t="shared" si="0"/>
        <v>0</v>
      </c>
      <c r="G55" s="13"/>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s="14"/>
    </row>
    <row r="56" spans="1:54" x14ac:dyDescent="0.25">
      <c r="A56" s="31"/>
      <c r="B56" s="32"/>
      <c r="C56" s="32"/>
      <c r="D56" s="29"/>
      <c r="G56" s="13"/>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s="14"/>
    </row>
    <row r="57" spans="1:54" x14ac:dyDescent="0.25">
      <c r="B57" s="28"/>
      <c r="C57" s="28"/>
      <c r="D57" s="29"/>
      <c r="G57" s="13"/>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s="14"/>
    </row>
    <row r="58" spans="1:54" x14ac:dyDescent="0.25">
      <c r="B58" s="28"/>
      <c r="C58" s="28"/>
      <c r="D58" s="29"/>
      <c r="G58" s="13"/>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s="14"/>
    </row>
    <row r="59" spans="1:54" x14ac:dyDescent="0.25">
      <c r="B59" s="28"/>
      <c r="C59" s="28"/>
      <c r="D59" s="29"/>
      <c r="G59" s="13"/>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s="14"/>
    </row>
    <row r="60" spans="1:54" x14ac:dyDescent="0.25">
      <c r="B60" s="28"/>
      <c r="C60" s="28"/>
      <c r="D60" s="29"/>
      <c r="G60" s="13"/>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s="14"/>
    </row>
    <row r="61" spans="1:54" x14ac:dyDescent="0.25">
      <c r="B61" s="28"/>
      <c r="C61" s="28"/>
      <c r="D61" s="29"/>
      <c r="G61" s="13"/>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s="14"/>
    </row>
    <row r="62" spans="1:54" x14ac:dyDescent="0.25">
      <c r="B62" s="28"/>
      <c r="C62" s="28"/>
      <c r="D62" s="29"/>
      <c r="G62" s="13"/>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s="14"/>
    </row>
    <row r="63" spans="1:54" x14ac:dyDescent="0.25">
      <c r="B63" s="28"/>
      <c r="C63" s="28"/>
      <c r="D63" s="29"/>
      <c r="G63" s="1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s="14"/>
    </row>
    <row r="64" spans="1:54" x14ac:dyDescent="0.25">
      <c r="B64" s="28"/>
      <c r="C64" s="28"/>
      <c r="D64" s="29"/>
      <c r="G64" s="13"/>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s="14"/>
    </row>
    <row r="65" spans="2:54" x14ac:dyDescent="0.25">
      <c r="B65" s="28"/>
      <c r="C65" s="28"/>
      <c r="D65" s="29"/>
      <c r="G65" s="13"/>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s="14"/>
    </row>
    <row r="66" spans="2:54" x14ac:dyDescent="0.25">
      <c r="G66" s="13"/>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s="14"/>
    </row>
    <row r="67" spans="2:54" x14ac:dyDescent="0.25">
      <c r="G67" s="13"/>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s="14"/>
    </row>
    <row r="68" spans="2:54" x14ac:dyDescent="0.25">
      <c r="G68" s="13"/>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s="14"/>
    </row>
    <row r="69" spans="2:54" x14ac:dyDescent="0.25">
      <c r="G69" s="13"/>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s="14"/>
    </row>
    <row r="70" spans="2:54" x14ac:dyDescent="0.25">
      <c r="G70" s="13"/>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s="14"/>
    </row>
    <row r="71" spans="2:54" x14ac:dyDescent="0.25">
      <c r="G71" s="13"/>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s="14"/>
    </row>
    <row r="72" spans="2:54" x14ac:dyDescent="0.25">
      <c r="G72" s="13"/>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s="14"/>
    </row>
    <row r="73" spans="2:54" x14ac:dyDescent="0.25">
      <c r="G73" s="1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s="14"/>
    </row>
    <row r="74" spans="2:54" x14ac:dyDescent="0.25">
      <c r="G74" s="13"/>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s="14"/>
    </row>
    <row r="75" spans="2:54" x14ac:dyDescent="0.25">
      <c r="G75" s="13"/>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s="14"/>
    </row>
    <row r="76" spans="2:54" x14ac:dyDescent="0.25">
      <c r="G76" s="13"/>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s="14"/>
    </row>
    <row r="77" spans="2:54" x14ac:dyDescent="0.25">
      <c r="G77" s="13"/>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s="14"/>
    </row>
    <row r="78" spans="2:54" x14ac:dyDescent="0.25">
      <c r="G78" s="13"/>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s="14"/>
    </row>
    <row r="79" spans="2:54" x14ac:dyDescent="0.25">
      <c r="G79" s="13"/>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s="14"/>
    </row>
    <row r="80" spans="2:54" x14ac:dyDescent="0.25">
      <c r="G80" s="13"/>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s="14"/>
    </row>
    <row r="81" spans="7:54" x14ac:dyDescent="0.25">
      <c r="G81" s="13"/>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s="14"/>
    </row>
    <row r="82" spans="7:54" x14ac:dyDescent="0.25">
      <c r="G82" s="13"/>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s="14"/>
    </row>
    <row r="83" spans="7:54" x14ac:dyDescent="0.25">
      <c r="G83" s="1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s="14"/>
    </row>
    <row r="84" spans="7:54" x14ac:dyDescent="0.25">
      <c r="G84" s="13"/>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s="14"/>
    </row>
    <row r="85" spans="7:54" x14ac:dyDescent="0.25">
      <c r="G85" s="13"/>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s="14"/>
    </row>
    <row r="86" spans="7:54" x14ac:dyDescent="0.25">
      <c r="G86" s="13"/>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s="14"/>
    </row>
    <row r="87" spans="7:54" x14ac:dyDescent="0.25">
      <c r="G87" s="13"/>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s="14"/>
    </row>
    <row r="88" spans="7:54" x14ac:dyDescent="0.25">
      <c r="G88" s="13"/>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s="14"/>
    </row>
    <row r="89" spans="7:54" x14ac:dyDescent="0.25">
      <c r="G89" s="13"/>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s="14"/>
    </row>
    <row r="90" spans="7:54" x14ac:dyDescent="0.25">
      <c r="G90" s="13"/>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s="14"/>
    </row>
    <row r="91" spans="7:54" x14ac:dyDescent="0.25">
      <c r="G91" s="13"/>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s="14"/>
    </row>
    <row r="92" spans="7:54" x14ac:dyDescent="0.25">
      <c r="G92" s="13"/>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s="14"/>
    </row>
    <row r="93" spans="7:54" x14ac:dyDescent="0.25">
      <c r="G93" s="1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s="14"/>
    </row>
    <row r="94" spans="7:54" x14ac:dyDescent="0.25">
      <c r="G94" s="13"/>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s="14"/>
    </row>
    <row r="95" spans="7:54" x14ac:dyDescent="0.25">
      <c r="G95" s="13"/>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s="14"/>
    </row>
    <row r="96" spans="7:54" x14ac:dyDescent="0.25">
      <c r="G96" s="13"/>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s="14"/>
    </row>
    <row r="97" spans="7:54" x14ac:dyDescent="0.25">
      <c r="G97" s="13"/>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s="14"/>
    </row>
    <row r="98" spans="7:54" x14ac:dyDescent="0.25">
      <c r="G98" s="13"/>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s="14"/>
    </row>
    <row r="99" spans="7:54" x14ac:dyDescent="0.25">
      <c r="G99" s="13"/>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s="14"/>
    </row>
    <row r="100" spans="7:54" x14ac:dyDescent="0.25">
      <c r="G100" s="13"/>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s="14"/>
    </row>
    <row r="101" spans="7:54" x14ac:dyDescent="0.25">
      <c r="G101" s="13"/>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s="14"/>
    </row>
    <row r="102" spans="7:54" x14ac:dyDescent="0.25">
      <c r="G102" s="13"/>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s="14"/>
    </row>
    <row r="103" spans="7:54" x14ac:dyDescent="0.25">
      <c r="G103" s="1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s="14"/>
    </row>
    <row r="104" spans="7:54" x14ac:dyDescent="0.25">
      <c r="G104" s="13"/>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s="14"/>
    </row>
    <row r="105" spans="7:54" x14ac:dyDescent="0.25">
      <c r="G105" s="13"/>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s="14"/>
    </row>
    <row r="106" spans="7:54" x14ac:dyDescent="0.25">
      <c r="G106" s="13"/>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s="14"/>
    </row>
    <row r="107" spans="7:54" x14ac:dyDescent="0.25">
      <c r="G107" s="13"/>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s="14"/>
    </row>
    <row r="108" spans="7:54" x14ac:dyDescent="0.25">
      <c r="G108" s="13"/>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s="14"/>
    </row>
    <row r="109" spans="7:54" x14ac:dyDescent="0.25">
      <c r="G109" s="13"/>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s="14"/>
    </row>
    <row r="110" spans="7:54" x14ac:dyDescent="0.25">
      <c r="G110" s="13"/>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s="14"/>
    </row>
    <row r="111" spans="7:54" x14ac:dyDescent="0.25">
      <c r="G111" s="13"/>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s="14"/>
    </row>
    <row r="112" spans="7:54" x14ac:dyDescent="0.25">
      <c r="G112" s="13"/>
      <c r="H112"/>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s="14"/>
    </row>
    <row r="113" spans="7:54" x14ac:dyDescent="0.25">
      <c r="G113" s="13"/>
      <c r="H113"/>
      <c r="I113"/>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s="14"/>
    </row>
    <row r="114" spans="7:54" x14ac:dyDescent="0.25">
      <c r="G114" s="13"/>
      <c r="H114"/>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s="14"/>
    </row>
    <row r="115" spans="7:54" ht="15.75" thickBot="1" x14ac:dyDescent="0.3">
      <c r="G115" s="15"/>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c r="AT115" s="16"/>
      <c r="AU115" s="16"/>
      <c r="AV115" s="16"/>
      <c r="AW115" s="16"/>
      <c r="AX115" s="16"/>
      <c r="AY115" s="16"/>
      <c r="AZ115" s="16"/>
      <c r="BA115" s="16"/>
      <c r="BB115" s="17"/>
    </row>
  </sheetData>
  <mergeCells count="34">
    <mergeCell ref="P33:P34"/>
    <mergeCell ref="H26:I26"/>
    <mergeCell ref="J26:K26"/>
    <mergeCell ref="M26:M27"/>
    <mergeCell ref="N26:N27"/>
    <mergeCell ref="O26:O27"/>
    <mergeCell ref="P26:P27"/>
    <mergeCell ref="H33:I33"/>
    <mergeCell ref="J33:K33"/>
    <mergeCell ref="M33:M34"/>
    <mergeCell ref="N33:N34"/>
    <mergeCell ref="O33:O34"/>
    <mergeCell ref="Y33:Y34"/>
    <mergeCell ref="Z33:Z34"/>
    <mergeCell ref="AA33:AA34"/>
    <mergeCell ref="AB33:AB34"/>
    <mergeCell ref="Q26:Q27"/>
    <mergeCell ref="R26:R27"/>
    <mergeCell ref="S26:S27"/>
    <mergeCell ref="T26:T27"/>
    <mergeCell ref="W33:W34"/>
    <mergeCell ref="Q33:Q34"/>
    <mergeCell ref="R33:R34"/>
    <mergeCell ref="S33:S34"/>
    <mergeCell ref="T33:T34"/>
    <mergeCell ref="U33:U34"/>
    <mergeCell ref="V33:V34"/>
    <mergeCell ref="M25:T25"/>
    <mergeCell ref="M32:W32"/>
    <mergeCell ref="Y25:AB25"/>
    <mergeCell ref="Y26:Y27"/>
    <mergeCell ref="Z26:Z27"/>
    <mergeCell ref="AA26:AA27"/>
    <mergeCell ref="Y32:AB32"/>
  </mergeCells>
  <conditionalFormatting sqref="C26:C50 B26:B55">
    <cfRule type="expression" dxfId="12" priority="2">
      <formula>A26=""</formula>
    </cfRule>
  </conditionalFormatting>
  <conditionalFormatting sqref="C51:C55">
    <cfRule type="expression" dxfId="11" priority="1">
      <formula>A51=""</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Overview</vt:lpstr>
      <vt:lpstr>Project Information</vt:lpstr>
      <vt:lpstr>Parameter Values</vt:lpstr>
      <vt:lpstr>User Volumes</vt:lpstr>
      <vt:lpstr>Capital Costs</vt:lpstr>
      <vt:lpstr>Operations and Maintenance</vt:lpstr>
      <vt:lpstr>Safety</vt:lpstr>
      <vt:lpstr>Travel Time Savings</vt:lpstr>
      <vt:lpstr>Vehicle Operating Cost Savings</vt:lpstr>
      <vt:lpstr>Emissions Reduction</vt:lpstr>
      <vt:lpstr>Other Highway Use Externalities</vt:lpstr>
      <vt:lpstr>Amenity Benefits</vt:lpstr>
      <vt:lpstr>Health Benefits</vt:lpstr>
      <vt:lpstr>Residual Value</vt:lpstr>
      <vt:lpstr>Other Benefit 1</vt:lpstr>
      <vt:lpstr>Other Benefit 2</vt:lpstr>
      <vt:lpstr>Other Benefit 3</vt:lpstr>
      <vt:lpstr>Other Benefit 4</vt:lpstr>
      <vt:lpstr>Summary</vt:lpstr>
      <vt:lpstr>Final Results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Riesenberg, Jordan (OST)</dc:creator>
  <cp:lastModifiedBy>J. Scott Lane</cp:lastModifiedBy>
  <dcterms:created xsi:type="dcterms:W3CDTF">2023-03-14T14:10:51Z</dcterms:created>
  <dcterms:modified xsi:type="dcterms:W3CDTF">2024-05-22T19:50:35Z</dcterms:modified>
</cp:coreProperties>
</file>